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erl\Desktop\BB\ÜT\2024\1 változat 20240628\"/>
    </mc:Choice>
  </mc:AlternateContent>
  <xr:revisionPtr revIDLastSave="0" documentId="13_ncr:1_{5438966E-385C-4807-834C-ED65FC7C73E8}" xr6:coauthVersionLast="47" xr6:coauthVersionMax="47" xr10:uidLastSave="{00000000-0000-0000-0000-000000000000}"/>
  <bookViews>
    <workbookView xWindow="-105" yWindow="-16200" windowWidth="14610" windowHeight="16305" firstSheet="4" activeTab="6" xr2:uid="{C8756998-4446-43F8-960C-C2C5892A9A4B}"/>
  </bookViews>
  <sheets>
    <sheet name="Infó" sheetId="1" r:id="rId1"/>
    <sheet name="Bemenet" sheetId="2" r:id="rId2"/>
    <sheet name="Számítás" sheetId="3" r:id="rId3"/>
    <sheet name="Nyereség vs veszteség" sheetId="4" r:id="rId4"/>
    <sheet name="Pénzforgalom" sheetId="5" r:id="rId5"/>
    <sheet name="Mérleg" sheetId="6" r:id="rId6"/>
    <sheet name="Értékelés" sheetId="7" r:id="rId7"/>
    <sheet name="Megtérülés" sheetId="8" r:id="rId8"/>
  </sheets>
  <definedNames>
    <definedName name="_xlnm._FilterDatabase" localSheetId="1" hidden="1">Bemenet!$B$1:$B$1110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Z8T+Hf+bOGMJZ/Jk0JsC4AZZFmw=="/>
    </ext>
  </extLst>
</workbook>
</file>

<file path=xl/calcChain.xml><?xml version="1.0" encoding="utf-8"?>
<calcChain xmlns="http://schemas.openxmlformats.org/spreadsheetml/2006/main">
  <c r="B3" i="8" l="1"/>
  <c r="B11" i="8"/>
  <c r="B13" i="8" s="1"/>
  <c r="D7" i="8"/>
  <c r="C7" i="8"/>
  <c r="B7" i="8"/>
  <c r="A7" i="8"/>
  <c r="G16" i="7"/>
  <c r="F16" i="7"/>
  <c r="G14" i="7"/>
  <c r="F14" i="7"/>
  <c r="E16" i="7"/>
  <c r="E14" i="7"/>
  <c r="F14" i="5"/>
  <c r="E14" i="5"/>
  <c r="D9" i="5"/>
  <c r="D14" i="5"/>
  <c r="D29" i="4"/>
  <c r="D13" i="5"/>
  <c r="D12" i="5"/>
  <c r="D26" i="6" l="1"/>
  <c r="Q95" i="2" l="1"/>
  <c r="R95" i="2"/>
  <c r="S95" i="2"/>
  <c r="O60" i="2" l="1"/>
  <c r="N60" i="2"/>
  <c r="P56" i="2"/>
  <c r="Q52" i="2"/>
  <c r="D171" i="2" l="1"/>
  <c r="T106" i="2"/>
  <c r="S106" i="2"/>
  <c r="R106" i="2"/>
  <c r="Q106" i="2"/>
  <c r="P106" i="2"/>
  <c r="T74" i="2"/>
  <c r="S74" i="2"/>
  <c r="R74" i="2"/>
  <c r="Q74" i="2"/>
  <c r="P74" i="2"/>
  <c r="T65" i="2"/>
  <c r="S65" i="2"/>
  <c r="R65" i="2"/>
  <c r="Q65" i="2"/>
  <c r="P65" i="2"/>
  <c r="T55" i="2"/>
  <c r="S55" i="2"/>
  <c r="R55" i="2"/>
  <c r="Q55" i="2"/>
  <c r="P55" i="2"/>
  <c r="T42" i="2"/>
  <c r="S42" i="2"/>
  <c r="R42" i="2"/>
  <c r="Q42" i="2"/>
  <c r="P42" i="2"/>
  <c r="T33" i="2"/>
  <c r="S33" i="2"/>
  <c r="R33" i="2"/>
  <c r="Q33" i="2"/>
  <c r="P33" i="2"/>
  <c r="T23" i="2"/>
  <c r="Q23" i="2"/>
  <c r="R23" i="2"/>
  <c r="S23" i="2"/>
  <c r="P23" i="2"/>
  <c r="D23" i="6" l="1"/>
  <c r="D178" i="2"/>
  <c r="J178" i="2"/>
  <c r="E178" i="2"/>
  <c r="F178" i="2"/>
  <c r="G178" i="2"/>
  <c r="H178" i="2"/>
  <c r="P121" i="2"/>
  <c r="D136" i="2"/>
  <c r="D174" i="2" l="1"/>
  <c r="D173" i="2"/>
  <c r="D172" i="2"/>
  <c r="R183" i="2"/>
  <c r="O214" i="2"/>
  <c r="P214" i="2"/>
  <c r="Q214" i="2"/>
  <c r="L214" i="2"/>
  <c r="L213" i="2"/>
  <c r="T212" i="2"/>
  <c r="Q212" i="2"/>
  <c r="P212" i="2"/>
  <c r="M212" i="2"/>
  <c r="N212" i="2"/>
  <c r="O212" i="2"/>
  <c r="L212" i="2"/>
  <c r="T187" i="2"/>
  <c r="Q187" i="2"/>
  <c r="R187" i="2"/>
  <c r="S187" i="2"/>
  <c r="P187" i="2"/>
  <c r="J187" i="2"/>
  <c r="K187" i="2"/>
  <c r="L187" i="2"/>
  <c r="M187" i="2"/>
  <c r="N187" i="2"/>
  <c r="O187" i="2"/>
  <c r="I187" i="2"/>
  <c r="K178" i="2"/>
  <c r="L178" i="2"/>
  <c r="M178" i="2"/>
  <c r="N178" i="2"/>
  <c r="O178" i="2"/>
  <c r="I178" i="2"/>
  <c r="T177" i="2"/>
  <c r="Q177" i="2"/>
  <c r="R177" i="2"/>
  <c r="S177" i="2"/>
  <c r="P177" i="2"/>
  <c r="O177" i="2"/>
  <c r="T222" i="2"/>
  <c r="S222" i="2"/>
  <c r="Q222" i="2"/>
  <c r="R222" i="2"/>
  <c r="P222" i="2"/>
  <c r="M222" i="2"/>
  <c r="N222" i="2"/>
  <c r="O222" i="2"/>
  <c r="L222" i="2"/>
  <c r="O179" i="2"/>
  <c r="O136" i="2"/>
  <c r="G136" i="2"/>
  <c r="P136" i="2"/>
  <c r="S212" i="2"/>
  <c r="R212" i="2"/>
  <c r="B26" i="3"/>
  <c r="T136" i="2"/>
  <c r="S136" i="2"/>
  <c r="R136" i="2"/>
  <c r="Q136" i="2"/>
  <c r="N136" i="2"/>
  <c r="M136" i="2"/>
  <c r="L136" i="2"/>
  <c r="K136" i="2"/>
  <c r="J136" i="2"/>
  <c r="I136" i="2"/>
  <c r="H136" i="2"/>
  <c r="F136" i="2"/>
  <c r="E136" i="2"/>
  <c r="T121" i="2"/>
  <c r="S121" i="2"/>
  <c r="R121" i="2"/>
  <c r="Q121" i="2"/>
  <c r="D31" i="2"/>
  <c r="D37" i="2" s="1"/>
  <c r="D34" i="2" l="1"/>
  <c r="D39" i="2"/>
  <c r="D41" i="2" s="1"/>
  <c r="D45" i="2" s="1"/>
  <c r="D115" i="2" s="1"/>
  <c r="A9" i="8"/>
  <c r="A8" i="8"/>
  <c r="A6" i="8"/>
  <c r="A5" i="8"/>
  <c r="A4" i="8"/>
  <c r="A3" i="8"/>
  <c r="E11" i="7"/>
  <c r="B4" i="8" s="1"/>
  <c r="D6" i="7"/>
  <c r="G5" i="7"/>
  <c r="F5" i="7"/>
  <c r="E5" i="7"/>
  <c r="F23" i="6"/>
  <c r="E23" i="6"/>
  <c r="F5" i="6"/>
  <c r="E5" i="6"/>
  <c r="D5" i="6"/>
  <c r="F5" i="5"/>
  <c r="E5" i="5"/>
  <c r="D5" i="5"/>
  <c r="G30" i="4"/>
  <c r="G26" i="4"/>
  <c r="B25" i="4"/>
  <c r="B11" i="4"/>
  <c r="F5" i="4"/>
  <c r="D2" i="8" s="1"/>
  <c r="E5" i="4"/>
  <c r="C2" i="8" s="1"/>
  <c r="D5" i="4"/>
  <c r="B2" i="8" s="1"/>
  <c r="B105" i="3"/>
  <c r="F104" i="3"/>
  <c r="F10" i="5" s="1"/>
  <c r="F11" i="5" s="1"/>
  <c r="G15" i="7" s="1"/>
  <c r="D8" i="8" s="1"/>
  <c r="E104" i="3"/>
  <c r="E10" i="5" s="1"/>
  <c r="E11" i="5" s="1"/>
  <c r="F15" i="7" s="1"/>
  <c r="C8" i="8" s="1"/>
  <c r="D104" i="3"/>
  <c r="B98" i="3"/>
  <c r="B97" i="3"/>
  <c r="B95" i="3"/>
  <c r="D94" i="3"/>
  <c r="B94" i="3"/>
  <c r="B93" i="3"/>
  <c r="B91" i="3"/>
  <c r="B90" i="3"/>
  <c r="B89" i="3"/>
  <c r="B88" i="3"/>
  <c r="F84" i="3"/>
  <c r="E84" i="3"/>
  <c r="D84" i="3"/>
  <c r="B84" i="3"/>
  <c r="F83" i="3"/>
  <c r="E83" i="3"/>
  <c r="D83" i="3"/>
  <c r="B83" i="3"/>
  <c r="F82" i="3"/>
  <c r="E82" i="3"/>
  <c r="D82" i="3"/>
  <c r="B82" i="3"/>
  <c r="F81" i="3"/>
  <c r="E81" i="3"/>
  <c r="D81" i="3"/>
  <c r="B81" i="3"/>
  <c r="B80" i="3"/>
  <c r="B78" i="3"/>
  <c r="B77" i="3"/>
  <c r="B76" i="3"/>
  <c r="B74" i="3"/>
  <c r="D71" i="3"/>
  <c r="B71" i="3"/>
  <c r="B70" i="3"/>
  <c r="B68" i="3"/>
  <c r="D67" i="3"/>
  <c r="B67" i="3"/>
  <c r="B66" i="3"/>
  <c r="D64" i="3"/>
  <c r="B64" i="3"/>
  <c r="B63" i="3"/>
  <c r="B62" i="3"/>
  <c r="B61" i="3"/>
  <c r="B57" i="3"/>
  <c r="B56" i="3"/>
  <c r="B55" i="3"/>
  <c r="B54" i="3"/>
  <c r="B50" i="3"/>
  <c r="B49" i="3"/>
  <c r="B48" i="3"/>
  <c r="B46" i="3"/>
  <c r="B44" i="3"/>
  <c r="B23" i="4" s="1"/>
  <c r="D43" i="3"/>
  <c r="D22" i="4" s="1"/>
  <c r="B43" i="3"/>
  <c r="B22" i="4" s="1"/>
  <c r="D42" i="3"/>
  <c r="D21" i="4" s="1"/>
  <c r="B42" i="3"/>
  <c r="B21" i="4" s="1"/>
  <c r="F41" i="3"/>
  <c r="E41" i="3"/>
  <c r="D41" i="3"/>
  <c r="D20" i="4" s="1"/>
  <c r="B41" i="3"/>
  <c r="B20" i="4" s="1"/>
  <c r="B40" i="3"/>
  <c r="B24" i="4" s="1"/>
  <c r="D38" i="3"/>
  <c r="B38" i="3"/>
  <c r="B37" i="3"/>
  <c r="B35" i="3"/>
  <c r="D34" i="3"/>
  <c r="B34" i="3"/>
  <c r="B33" i="3"/>
  <c r="D31" i="3"/>
  <c r="B31" i="3"/>
  <c r="B30" i="3"/>
  <c r="C28" i="3"/>
  <c r="B28" i="3"/>
  <c r="B10" i="4" s="1"/>
  <c r="C27" i="3"/>
  <c r="B27" i="3"/>
  <c r="B9" i="4" s="1"/>
  <c r="B24" i="3"/>
  <c r="B19" i="3"/>
  <c r="B14" i="3"/>
  <c r="B9" i="3"/>
  <c r="F98" i="3"/>
  <c r="D98" i="3"/>
  <c r="T219" i="2"/>
  <c r="F95" i="3" s="1"/>
  <c r="S219" i="2"/>
  <c r="R219" i="2"/>
  <c r="Q219" i="2"/>
  <c r="P219" i="2"/>
  <c r="O219" i="2"/>
  <c r="N219" i="2"/>
  <c r="M219" i="2"/>
  <c r="T218" i="2"/>
  <c r="F94" i="3" s="1"/>
  <c r="S218" i="2"/>
  <c r="R218" i="2"/>
  <c r="E94" i="3" s="1"/>
  <c r="T214" i="2"/>
  <c r="F91" i="3" s="1"/>
  <c r="S214" i="2"/>
  <c r="R214" i="2"/>
  <c r="N214" i="2"/>
  <c r="M214" i="2"/>
  <c r="T213" i="2"/>
  <c r="F90" i="3" s="1"/>
  <c r="S213" i="2"/>
  <c r="R213" i="2"/>
  <c r="Q213" i="2"/>
  <c r="P213" i="2"/>
  <c r="O213" i="2"/>
  <c r="N213" i="2"/>
  <c r="M213" i="2"/>
  <c r="F89" i="3"/>
  <c r="F71" i="3"/>
  <c r="O184" i="2"/>
  <c r="S184" i="2" s="1"/>
  <c r="N184" i="2"/>
  <c r="M184" i="2"/>
  <c r="L184" i="2"/>
  <c r="K184" i="2"/>
  <c r="J184" i="2"/>
  <c r="I184" i="2"/>
  <c r="T183" i="2"/>
  <c r="F67" i="3" s="1"/>
  <c r="S183" i="2"/>
  <c r="Q183" i="2"/>
  <c r="P183" i="2"/>
  <c r="T179" i="2"/>
  <c r="F64" i="3" s="1"/>
  <c r="S179" i="2"/>
  <c r="R179" i="2"/>
  <c r="Q179" i="2"/>
  <c r="P179" i="2"/>
  <c r="T178" i="2"/>
  <c r="F63" i="3" s="1"/>
  <c r="S178" i="2"/>
  <c r="R178" i="2"/>
  <c r="Q178" i="2"/>
  <c r="P178" i="2"/>
  <c r="F62" i="3"/>
  <c r="F56" i="3"/>
  <c r="F54" i="3"/>
  <c r="F44" i="3"/>
  <c r="F23" i="4" s="1"/>
  <c r="E44" i="3"/>
  <c r="E23" i="4" s="1"/>
  <c r="D44" i="3"/>
  <c r="T135" i="2"/>
  <c r="F43" i="3" s="1"/>
  <c r="F22" i="4" s="1"/>
  <c r="S135" i="2"/>
  <c r="R135" i="2"/>
  <c r="Q135" i="2"/>
  <c r="P135" i="2"/>
  <c r="T134" i="2"/>
  <c r="F42" i="3" s="1"/>
  <c r="S134" i="2"/>
  <c r="R134" i="2"/>
  <c r="Q134" i="2"/>
  <c r="P134" i="2"/>
  <c r="T129" i="2"/>
  <c r="F38" i="3" s="1"/>
  <c r="S129" i="2"/>
  <c r="R129" i="2"/>
  <c r="Q129" i="2"/>
  <c r="P129" i="2"/>
  <c r="O126" i="2"/>
  <c r="S126" i="2" s="1"/>
  <c r="N126" i="2"/>
  <c r="M126" i="2"/>
  <c r="L126" i="2"/>
  <c r="K126" i="2"/>
  <c r="J126" i="2"/>
  <c r="I126" i="2"/>
  <c r="H126" i="2"/>
  <c r="G126" i="2"/>
  <c r="F126" i="2"/>
  <c r="E126" i="2"/>
  <c r="T125" i="2"/>
  <c r="F34" i="3" s="1"/>
  <c r="S125" i="2"/>
  <c r="R125" i="2"/>
  <c r="Q125" i="2"/>
  <c r="P125" i="2"/>
  <c r="F31" i="3"/>
  <c r="N95" i="2"/>
  <c r="N101" i="2" s="1"/>
  <c r="N103" i="2" s="1"/>
  <c r="N105" i="2" s="1"/>
  <c r="N109" i="2" s="1"/>
  <c r="M95" i="2"/>
  <c r="M98" i="2" s="1"/>
  <c r="L95" i="2"/>
  <c r="L101" i="2" s="1"/>
  <c r="L103" i="2" s="1"/>
  <c r="L105" i="2" s="1"/>
  <c r="L109" i="2" s="1"/>
  <c r="K95" i="2"/>
  <c r="K101" i="2" s="1"/>
  <c r="K103" i="2" s="1"/>
  <c r="K105" i="2" s="1"/>
  <c r="K109" i="2" s="1"/>
  <c r="J95" i="2"/>
  <c r="J101" i="2" s="1"/>
  <c r="J103" i="2" s="1"/>
  <c r="J105" i="2" s="1"/>
  <c r="J109" i="2" s="1"/>
  <c r="I95" i="2"/>
  <c r="I98" i="2" s="1"/>
  <c r="H95" i="2"/>
  <c r="H101" i="2" s="1"/>
  <c r="H103" i="2" s="1"/>
  <c r="H105" i="2" s="1"/>
  <c r="H109" i="2" s="1"/>
  <c r="G95" i="2"/>
  <c r="G101" i="2" s="1"/>
  <c r="G103" i="2" s="1"/>
  <c r="G105" i="2" s="1"/>
  <c r="G109" i="2" s="1"/>
  <c r="F95" i="2"/>
  <c r="F101" i="2" s="1"/>
  <c r="F103" i="2" s="1"/>
  <c r="F105" i="2" s="1"/>
  <c r="F109" i="2" s="1"/>
  <c r="E95" i="2"/>
  <c r="E98" i="2" s="1"/>
  <c r="D95" i="2"/>
  <c r="D101" i="2" s="1"/>
  <c r="D103" i="2" s="1"/>
  <c r="D105" i="2" s="1"/>
  <c r="D109" i="2" s="1"/>
  <c r="O95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Q88" i="2"/>
  <c r="J63" i="2"/>
  <c r="J69" i="2" s="1"/>
  <c r="J71" i="2" s="1"/>
  <c r="J73" i="2" s="1"/>
  <c r="J77" i="2" s="1"/>
  <c r="I63" i="2"/>
  <c r="I69" i="2" s="1"/>
  <c r="I71" i="2" s="1"/>
  <c r="I73" i="2" s="1"/>
  <c r="I77" i="2" s="1"/>
  <c r="H63" i="2"/>
  <c r="H69" i="2" s="1"/>
  <c r="H71" i="2" s="1"/>
  <c r="H73" i="2" s="1"/>
  <c r="H77" i="2" s="1"/>
  <c r="G63" i="2"/>
  <c r="G69" i="2" s="1"/>
  <c r="G71" i="2" s="1"/>
  <c r="G73" i="2" s="1"/>
  <c r="G77" i="2" s="1"/>
  <c r="F63" i="2"/>
  <c r="F69" i="2" s="1"/>
  <c r="F71" i="2" s="1"/>
  <c r="F73" i="2" s="1"/>
  <c r="F77" i="2" s="1"/>
  <c r="E63" i="2"/>
  <c r="E69" i="2" s="1"/>
  <c r="E71" i="2" s="1"/>
  <c r="E73" i="2" s="1"/>
  <c r="E77" i="2" s="1"/>
  <c r="D63" i="2"/>
  <c r="D69" i="2" s="1"/>
  <c r="D71" i="2" s="1"/>
  <c r="D73" i="2" s="1"/>
  <c r="D77" i="2" s="1"/>
  <c r="K60" i="2"/>
  <c r="K63" i="2" s="1"/>
  <c r="K56" i="2"/>
  <c r="J56" i="2"/>
  <c r="I56" i="2"/>
  <c r="H56" i="2"/>
  <c r="G56" i="2"/>
  <c r="F56" i="2"/>
  <c r="E56" i="2"/>
  <c r="D56" i="2"/>
  <c r="L52" i="2"/>
  <c r="E31" i="2"/>
  <c r="E34" i="2" s="1"/>
  <c r="D24" i="2"/>
  <c r="E20" i="2"/>
  <c r="E24" i="2" s="1"/>
  <c r="D20" i="3" l="1"/>
  <c r="E6" i="7"/>
  <c r="F6" i="7" s="1"/>
  <c r="G6" i="7" s="1"/>
  <c r="H6" i="7" s="1"/>
  <c r="D25" i="4"/>
  <c r="D90" i="3"/>
  <c r="L56" i="2"/>
  <c r="P126" i="2"/>
  <c r="T126" i="2"/>
  <c r="F35" i="3" s="1"/>
  <c r="F33" i="3" s="1"/>
  <c r="P184" i="2"/>
  <c r="D35" i="3"/>
  <c r="D33" i="3" s="1"/>
  <c r="E86" i="3"/>
  <c r="F80" i="3"/>
  <c r="D40" i="3"/>
  <c r="E67" i="3"/>
  <c r="F20" i="4"/>
  <c r="F40" i="3"/>
  <c r="E80" i="3"/>
  <c r="F17" i="4"/>
  <c r="E20" i="4"/>
  <c r="F86" i="3"/>
  <c r="J98" i="2"/>
  <c r="M101" i="2"/>
  <c r="M103" i="2" s="1"/>
  <c r="M105" i="2" s="1"/>
  <c r="M109" i="2" s="1"/>
  <c r="M194" i="2" s="1"/>
  <c r="D95" i="3"/>
  <c r="D66" i="2"/>
  <c r="G66" i="2"/>
  <c r="H66" i="2"/>
  <c r="D17" i="4"/>
  <c r="D80" i="3"/>
  <c r="D86" i="3"/>
  <c r="E90" i="3"/>
  <c r="E95" i="3"/>
  <c r="Q126" i="2"/>
  <c r="T184" i="2"/>
  <c r="F68" i="3" s="1"/>
  <c r="F66" i="3" s="1"/>
  <c r="F61" i="3"/>
  <c r="F93" i="3"/>
  <c r="E71" i="3"/>
  <c r="N98" i="2"/>
  <c r="E101" i="2"/>
  <c r="E103" i="2" s="1"/>
  <c r="E105" i="2" s="1"/>
  <c r="E109" i="2" s="1"/>
  <c r="E194" i="2" s="1"/>
  <c r="F98" i="2"/>
  <c r="I101" i="2"/>
  <c r="I103" i="2" s="1"/>
  <c r="I105" i="2" s="1"/>
  <c r="I109" i="2" s="1"/>
  <c r="I196" i="2" s="1"/>
  <c r="D117" i="2"/>
  <c r="D161" i="2"/>
  <c r="D159" i="2"/>
  <c r="H161" i="2"/>
  <c r="H159" i="2"/>
  <c r="K66" i="2"/>
  <c r="K69" i="2"/>
  <c r="K71" i="2" s="1"/>
  <c r="K73" i="2" s="1"/>
  <c r="K77" i="2" s="1"/>
  <c r="I161" i="2"/>
  <c r="I159" i="2"/>
  <c r="E161" i="2"/>
  <c r="E159" i="2"/>
  <c r="F159" i="2"/>
  <c r="F161" i="2"/>
  <c r="J159" i="2"/>
  <c r="J161" i="2"/>
  <c r="G161" i="2"/>
  <c r="G159" i="2"/>
  <c r="E37" i="2"/>
  <c r="E39" i="2" s="1"/>
  <c r="E41" i="2" s="1"/>
  <c r="E45" i="2" s="1"/>
  <c r="O101" i="2"/>
  <c r="O103" i="2" s="1"/>
  <c r="O105" i="2" s="1"/>
  <c r="O109" i="2" s="1"/>
  <c r="O98" i="2"/>
  <c r="K196" i="2"/>
  <c r="K194" i="2"/>
  <c r="F20" i="2"/>
  <c r="N52" i="2"/>
  <c r="N56" i="2" s="1"/>
  <c r="M56" i="2"/>
  <c r="E66" i="2"/>
  <c r="I66" i="2"/>
  <c r="D196" i="2"/>
  <c r="D194" i="2"/>
  <c r="H196" i="2"/>
  <c r="H194" i="2"/>
  <c r="L196" i="2"/>
  <c r="L194" i="2"/>
  <c r="G196" i="2"/>
  <c r="G194" i="2"/>
  <c r="F66" i="2"/>
  <c r="J66" i="2"/>
  <c r="F194" i="2"/>
  <c r="F196" i="2"/>
  <c r="J194" i="2"/>
  <c r="J196" i="2"/>
  <c r="N194" i="2"/>
  <c r="N196" i="2"/>
  <c r="D23" i="4"/>
  <c r="D24" i="4" s="1"/>
  <c r="E55" i="3"/>
  <c r="D55" i="3"/>
  <c r="G98" i="2"/>
  <c r="K98" i="2"/>
  <c r="E31" i="3"/>
  <c r="R126" i="2"/>
  <c r="E38" i="3"/>
  <c r="E56" i="3"/>
  <c r="D56" i="3"/>
  <c r="D63" i="3"/>
  <c r="D68" i="3"/>
  <c r="Q184" i="2"/>
  <c r="D91" i="3"/>
  <c r="E91" i="3"/>
  <c r="D98" i="2"/>
  <c r="H98" i="2"/>
  <c r="L98" i="2"/>
  <c r="E34" i="3"/>
  <c r="E42" i="3"/>
  <c r="F21" i="4"/>
  <c r="E57" i="3"/>
  <c r="D57" i="3"/>
  <c r="E63" i="3"/>
  <c r="R184" i="2"/>
  <c r="E98" i="3"/>
  <c r="F55" i="3"/>
  <c r="F57" i="3"/>
  <c r="E43" i="3"/>
  <c r="E22" i="4" s="1"/>
  <c r="E54" i="3"/>
  <c r="D54" i="3"/>
  <c r="D62" i="3"/>
  <c r="E64" i="3"/>
  <c r="D89" i="3"/>
  <c r="E89" i="3"/>
  <c r="F88" i="3"/>
  <c r="E25" i="4"/>
  <c r="E107" i="3"/>
  <c r="F107" i="3" s="1"/>
  <c r="F25" i="4"/>
  <c r="D10" i="5"/>
  <c r="D11" i="5" s="1"/>
  <c r="D106" i="3"/>
  <c r="F108" i="3"/>
  <c r="I194" i="2" l="1"/>
  <c r="D21" i="3"/>
  <c r="D22" i="3"/>
  <c r="D88" i="3"/>
  <c r="R88" i="2"/>
  <c r="E40" i="3"/>
  <c r="E35" i="3"/>
  <c r="E196" i="2"/>
  <c r="F24" i="4"/>
  <c r="E15" i="7"/>
  <c r="B8" i="8" s="1"/>
  <c r="F59" i="3"/>
  <c r="F13" i="4" s="1"/>
  <c r="F15" i="4"/>
  <c r="D93" i="3"/>
  <c r="E33" i="3"/>
  <c r="E17" i="4"/>
  <c r="M196" i="2"/>
  <c r="E68" i="3"/>
  <c r="E66" i="3" s="1"/>
  <c r="F53" i="3"/>
  <c r="F12" i="4" s="1"/>
  <c r="F16" i="4"/>
  <c r="E59" i="3"/>
  <c r="E13" i="4" s="1"/>
  <c r="E53" i="3"/>
  <c r="E12" i="4" s="1"/>
  <c r="E93" i="3"/>
  <c r="D59" i="3"/>
  <c r="D13" i="4" s="1"/>
  <c r="D53" i="3"/>
  <c r="D12" i="4" s="1"/>
  <c r="D61" i="3"/>
  <c r="E62" i="3"/>
  <c r="E61" i="3" s="1"/>
  <c r="E106" i="3"/>
  <c r="E105" i="3" s="1"/>
  <c r="D105" i="3"/>
  <c r="D109" i="3" s="1"/>
  <c r="O196" i="2"/>
  <c r="O194" i="2"/>
  <c r="D77" i="3" s="1"/>
  <c r="E88" i="3"/>
  <c r="D66" i="3"/>
  <c r="L63" i="2"/>
  <c r="G20" i="2"/>
  <c r="F24" i="2"/>
  <c r="P95" i="2"/>
  <c r="F31" i="2"/>
  <c r="F34" i="2" s="1"/>
  <c r="E21" i="4"/>
  <c r="E24" i="4" s="1"/>
  <c r="S88" i="2"/>
  <c r="O52" i="2"/>
  <c r="O56" i="2" s="1"/>
  <c r="D15" i="3" s="1"/>
  <c r="E117" i="2"/>
  <c r="E115" i="2"/>
  <c r="K161" i="2"/>
  <c r="K159" i="2"/>
  <c r="D78" i="3" l="1"/>
  <c r="E20" i="3"/>
  <c r="D16" i="4"/>
  <c r="D15" i="4"/>
  <c r="E16" i="4"/>
  <c r="F14" i="4"/>
  <c r="E15" i="4"/>
  <c r="D14" i="4"/>
  <c r="E14" i="4"/>
  <c r="F13" i="7"/>
  <c r="C6" i="8" s="1"/>
  <c r="E8" i="5"/>
  <c r="F37" i="2"/>
  <c r="F39" i="2" s="1"/>
  <c r="F41" i="2" s="1"/>
  <c r="F45" i="2" s="1"/>
  <c r="L66" i="2"/>
  <c r="L69" i="2"/>
  <c r="L71" i="2" s="1"/>
  <c r="L73" i="2" s="1"/>
  <c r="L77" i="2" s="1"/>
  <c r="F106" i="3"/>
  <c r="F105" i="3" s="1"/>
  <c r="T88" i="2"/>
  <c r="F20" i="3" s="1"/>
  <c r="M63" i="2"/>
  <c r="M66" i="2" s="1"/>
  <c r="P60" i="2"/>
  <c r="Q60" i="2" s="1"/>
  <c r="P101" i="2"/>
  <c r="P103" i="2" s="1"/>
  <c r="P105" i="2" s="1"/>
  <c r="P109" i="2" s="1"/>
  <c r="P98" i="2"/>
  <c r="G31" i="2"/>
  <c r="G34" i="2" s="1"/>
  <c r="G24" i="2"/>
  <c r="H20" i="2"/>
  <c r="D8" i="5"/>
  <c r="E13" i="7"/>
  <c r="B6" i="8" s="1"/>
  <c r="D10" i="6"/>
  <c r="D8" i="6" s="1"/>
  <c r="E109" i="3"/>
  <c r="E10" i="6" s="1"/>
  <c r="E8" i="6" s="1"/>
  <c r="G37" i="2" l="1"/>
  <c r="G39" i="2" s="1"/>
  <c r="G41" i="2" s="1"/>
  <c r="G45" i="2" s="1"/>
  <c r="G117" i="2" s="1"/>
  <c r="F8" i="5"/>
  <c r="G13" i="7"/>
  <c r="D6" i="8" s="1"/>
  <c r="H24" i="2"/>
  <c r="I20" i="2"/>
  <c r="J20" i="2" s="1"/>
  <c r="K20" i="2" s="1"/>
  <c r="L161" i="2"/>
  <c r="L159" i="2"/>
  <c r="Q98" i="2"/>
  <c r="Q101" i="2"/>
  <c r="Q103" i="2" s="1"/>
  <c r="Q105" i="2" s="1"/>
  <c r="Q109" i="2" s="1"/>
  <c r="M69" i="2"/>
  <c r="M71" i="2" s="1"/>
  <c r="M73" i="2" s="1"/>
  <c r="M77" i="2" s="1"/>
  <c r="P196" i="2"/>
  <c r="P194" i="2"/>
  <c r="F109" i="3"/>
  <c r="F10" i="6" s="1"/>
  <c r="F8" i="6" s="1"/>
  <c r="H31" i="2"/>
  <c r="H34" i="2" s="1"/>
  <c r="N63" i="2"/>
  <c r="N66" i="2" s="1"/>
  <c r="F117" i="2"/>
  <c r="F115" i="2"/>
  <c r="G115" i="2" l="1"/>
  <c r="R98" i="2"/>
  <c r="R101" i="2"/>
  <c r="R103" i="2" s="1"/>
  <c r="R105" i="2" s="1"/>
  <c r="R109" i="2" s="1"/>
  <c r="Q56" i="2"/>
  <c r="R52" i="2"/>
  <c r="N69" i="2"/>
  <c r="N71" i="2" s="1"/>
  <c r="N73" i="2" s="1"/>
  <c r="N77" i="2" s="1"/>
  <c r="M161" i="2"/>
  <c r="M159" i="2"/>
  <c r="Q196" i="2"/>
  <c r="Q194" i="2"/>
  <c r="I24" i="2"/>
  <c r="O63" i="2"/>
  <c r="O66" i="2" s="1"/>
  <c r="D16" i="3" s="1"/>
  <c r="I31" i="2"/>
  <c r="I34" i="2" s="1"/>
  <c r="T95" i="2"/>
  <c r="H37" i="2"/>
  <c r="H39" i="2" s="1"/>
  <c r="H41" i="2" s="1"/>
  <c r="H45" i="2" s="1"/>
  <c r="I37" i="2" l="1"/>
  <c r="I39" i="2" s="1"/>
  <c r="I41" i="2" s="1"/>
  <c r="I45" i="2" s="1"/>
  <c r="I117" i="2" s="1"/>
  <c r="S98" i="2"/>
  <c r="E21" i="3" s="1"/>
  <c r="S101" i="2"/>
  <c r="S103" i="2" s="1"/>
  <c r="S105" i="2" s="1"/>
  <c r="S109" i="2" s="1"/>
  <c r="E22" i="3" s="1"/>
  <c r="P63" i="2"/>
  <c r="J24" i="2"/>
  <c r="O69" i="2"/>
  <c r="O71" i="2" s="1"/>
  <c r="O73" i="2" s="1"/>
  <c r="O77" i="2" s="1"/>
  <c r="D17" i="3" s="1"/>
  <c r="N159" i="2"/>
  <c r="N161" i="2"/>
  <c r="J31" i="2"/>
  <c r="J34" i="2" s="1"/>
  <c r="K28" i="2"/>
  <c r="R194" i="2"/>
  <c r="R196" i="2"/>
  <c r="H115" i="2"/>
  <c r="H117" i="2"/>
  <c r="T98" i="2"/>
  <c r="F21" i="3" s="1"/>
  <c r="T101" i="2"/>
  <c r="R56" i="2"/>
  <c r="S52" i="2"/>
  <c r="T103" i="2" l="1"/>
  <c r="T105" i="2" s="1"/>
  <c r="T109" i="2" s="1"/>
  <c r="F22" i="3" s="1"/>
  <c r="U101" i="2"/>
  <c r="I115" i="2"/>
  <c r="S56" i="2"/>
  <c r="E15" i="3" s="1"/>
  <c r="T52" i="2"/>
  <c r="Q63" i="2"/>
  <c r="R60" i="2"/>
  <c r="J37" i="2"/>
  <c r="J39" i="2" s="1"/>
  <c r="J41" i="2" s="1"/>
  <c r="J45" i="2" s="1"/>
  <c r="P66" i="2"/>
  <c r="P69" i="2"/>
  <c r="P71" i="2" s="1"/>
  <c r="P73" i="2" s="1"/>
  <c r="P77" i="2" s="1"/>
  <c r="S196" i="2"/>
  <c r="E78" i="3" s="1"/>
  <c r="S194" i="2"/>
  <c r="E77" i="3" s="1"/>
  <c r="L28" i="2"/>
  <c r="K31" i="2"/>
  <c r="K34" i="2" s="1"/>
  <c r="O161" i="2"/>
  <c r="D50" i="3" s="1"/>
  <c r="O159" i="2"/>
  <c r="D49" i="3" s="1"/>
  <c r="K24" i="2"/>
  <c r="L20" i="2"/>
  <c r="T194" i="2" l="1"/>
  <c r="F77" i="3" s="1"/>
  <c r="T196" i="2"/>
  <c r="F78" i="3" s="1"/>
  <c r="P161" i="2"/>
  <c r="P159" i="2"/>
  <c r="Q66" i="2"/>
  <c r="Q69" i="2"/>
  <c r="Q71" i="2" s="1"/>
  <c r="Q73" i="2" s="1"/>
  <c r="Q77" i="2" s="1"/>
  <c r="L31" i="2"/>
  <c r="L34" i="2" s="1"/>
  <c r="M28" i="2"/>
  <c r="N28" i="2" s="1"/>
  <c r="O28" i="2" s="1"/>
  <c r="T56" i="2"/>
  <c r="F15" i="3" s="1"/>
  <c r="J117" i="2"/>
  <c r="J115" i="2"/>
  <c r="K37" i="2"/>
  <c r="K39" i="2" s="1"/>
  <c r="K41" i="2" s="1"/>
  <c r="K45" i="2" s="1"/>
  <c r="M20" i="2"/>
  <c r="L24" i="2"/>
  <c r="R63" i="2"/>
  <c r="S60" i="2"/>
  <c r="P28" i="2" l="1"/>
  <c r="O31" i="2"/>
  <c r="O34" i="2" s="1"/>
  <c r="L37" i="2"/>
  <c r="L39" i="2" s="1"/>
  <c r="L41" i="2" s="1"/>
  <c r="L45" i="2" s="1"/>
  <c r="L115" i="2" s="1"/>
  <c r="K117" i="2"/>
  <c r="K115" i="2"/>
  <c r="S63" i="2"/>
  <c r="T60" i="2"/>
  <c r="T63" i="2" s="1"/>
  <c r="Q161" i="2"/>
  <c r="Q159" i="2"/>
  <c r="R66" i="2"/>
  <c r="R69" i="2"/>
  <c r="R71" i="2" s="1"/>
  <c r="R73" i="2" s="1"/>
  <c r="R77" i="2" s="1"/>
  <c r="M31" i="2"/>
  <c r="M34" i="2" s="1"/>
  <c r="M24" i="2"/>
  <c r="N20" i="2"/>
  <c r="M37" i="2" l="1"/>
  <c r="M39" i="2" s="1"/>
  <c r="M41" i="2" s="1"/>
  <c r="L117" i="2"/>
  <c r="R159" i="2"/>
  <c r="R161" i="2"/>
  <c r="T66" i="2"/>
  <c r="F16" i="3" s="1"/>
  <c r="T69" i="2"/>
  <c r="N24" i="2"/>
  <c r="O20" i="2"/>
  <c r="S66" i="2"/>
  <c r="E16" i="3" s="1"/>
  <c r="S69" i="2"/>
  <c r="S71" i="2" s="1"/>
  <c r="S73" i="2" s="1"/>
  <c r="S77" i="2" s="1"/>
  <c r="E17" i="3" s="1"/>
  <c r="N31" i="2"/>
  <c r="N34" i="2" s="1"/>
  <c r="D11" i="3" s="1"/>
  <c r="M45" i="2" l="1"/>
  <c r="M117" i="2" s="1"/>
  <c r="U69" i="2"/>
  <c r="T71" i="2"/>
  <c r="T73" i="2" s="1"/>
  <c r="T77" i="2" s="1"/>
  <c r="T161" i="2" s="1"/>
  <c r="F50" i="3" s="1"/>
  <c r="N37" i="2"/>
  <c r="N39" i="2" s="1"/>
  <c r="N41" i="2" s="1"/>
  <c r="N45" i="2" s="1"/>
  <c r="O24" i="2"/>
  <c r="D10" i="3" s="1"/>
  <c r="P20" i="2"/>
  <c r="S161" i="2"/>
  <c r="E50" i="3" s="1"/>
  <c r="S159" i="2"/>
  <c r="E49" i="3" s="1"/>
  <c r="M115" i="2" l="1"/>
  <c r="D6" i="4"/>
  <c r="O37" i="2"/>
  <c r="O39" i="2" s="1"/>
  <c r="O41" i="2" s="1"/>
  <c r="T159" i="2"/>
  <c r="F49" i="3" s="1"/>
  <c r="F17" i="3"/>
  <c r="P24" i="2"/>
  <c r="Q20" i="2"/>
  <c r="P31" i="2"/>
  <c r="P34" i="2" s="1"/>
  <c r="Q28" i="2"/>
  <c r="N117" i="2"/>
  <c r="N115" i="2"/>
  <c r="O45" i="2" l="1"/>
  <c r="O115" i="2" s="1"/>
  <c r="Q24" i="2"/>
  <c r="R20" i="2"/>
  <c r="S20" i="2" s="1"/>
  <c r="Q31" i="2"/>
  <c r="Q34" i="2" s="1"/>
  <c r="R28" i="2"/>
  <c r="P37" i="2"/>
  <c r="P39" i="2" s="1"/>
  <c r="P41" i="2" s="1"/>
  <c r="P45" i="2" s="1"/>
  <c r="P115" i="2" s="1"/>
  <c r="D27" i="3" l="1"/>
  <c r="O117" i="2"/>
  <c r="D12" i="3"/>
  <c r="D7" i="4" s="1"/>
  <c r="D8" i="4" s="1"/>
  <c r="Q37" i="2"/>
  <c r="Q39" i="2" s="1"/>
  <c r="Q41" i="2" s="1"/>
  <c r="Q45" i="2" s="1"/>
  <c r="P117" i="2"/>
  <c r="R31" i="2"/>
  <c r="R34" i="2" s="1"/>
  <c r="S28" i="2"/>
  <c r="R24" i="2"/>
  <c r="D26" i="4" l="1"/>
  <c r="D9" i="4"/>
  <c r="D28" i="3"/>
  <c r="D18" i="4" s="1"/>
  <c r="D19" i="4" s="1"/>
  <c r="S31" i="2"/>
  <c r="T28" i="2"/>
  <c r="T31" i="2" s="1"/>
  <c r="Q117" i="2"/>
  <c r="Q115" i="2"/>
  <c r="R37" i="2"/>
  <c r="R39" i="2" s="1"/>
  <c r="R41" i="2" s="1"/>
  <c r="R45" i="2" s="1"/>
  <c r="S24" i="2"/>
  <c r="E10" i="3" s="1"/>
  <c r="T20" i="2"/>
  <c r="D10" i="4" l="1"/>
  <c r="D11" i="4" s="1"/>
  <c r="S34" i="2"/>
  <c r="S37" i="2"/>
  <c r="S39" i="2" s="1"/>
  <c r="S41" i="2" s="1"/>
  <c r="S45" i="2" s="1"/>
  <c r="S115" i="2" s="1"/>
  <c r="T34" i="2"/>
  <c r="F11" i="3" s="1"/>
  <c r="T37" i="2"/>
  <c r="U37" i="2" s="1"/>
  <c r="R117" i="2"/>
  <c r="R115" i="2"/>
  <c r="T24" i="2"/>
  <c r="F10" i="3" s="1"/>
  <c r="D27" i="4" l="1"/>
  <c r="E27" i="3"/>
  <c r="E12" i="3"/>
  <c r="E11" i="3"/>
  <c r="E6" i="4" s="1"/>
  <c r="F6" i="4"/>
  <c r="T39" i="2"/>
  <c r="T41" i="2" s="1"/>
  <c r="T45" i="2" s="1"/>
  <c r="T115" i="2" s="1"/>
  <c r="F27" i="3" s="1"/>
  <c r="S117" i="2"/>
  <c r="E7" i="4"/>
  <c r="E9" i="4"/>
  <c r="D31" i="4" l="1"/>
  <c r="E10" i="7"/>
  <c r="E12" i="7" s="1"/>
  <c r="E28" i="3"/>
  <c r="E10" i="4" s="1"/>
  <c r="E11" i="4" s="1"/>
  <c r="E8" i="4"/>
  <c r="F12" i="3"/>
  <c r="F7" i="4" s="1"/>
  <c r="F8" i="4" s="1"/>
  <c r="T117" i="2"/>
  <c r="F28" i="3" s="1"/>
  <c r="F10" i="4" s="1"/>
  <c r="F9" i="4"/>
  <c r="B5" i="8" l="1"/>
  <c r="B9" i="8"/>
  <c r="D7" i="5"/>
  <c r="D16" i="5" s="1"/>
  <c r="D22" i="6"/>
  <c r="E21" i="6" s="1"/>
  <c r="E18" i="4"/>
  <c r="E19" i="4" s="1"/>
  <c r="F11" i="4"/>
  <c r="F26" i="4"/>
  <c r="E26" i="4"/>
  <c r="F18" i="4"/>
  <c r="F19" i="4" s="1"/>
  <c r="E27" i="4" l="1"/>
  <c r="E29" i="4" s="1"/>
  <c r="E30" i="4" s="1"/>
  <c r="F27" i="4"/>
  <c r="F29" i="4" s="1"/>
  <c r="F10" i="7" l="1"/>
  <c r="C3" i="8" s="1"/>
  <c r="F11" i="7"/>
  <c r="C4" i="8" s="1"/>
  <c r="E31" i="4"/>
  <c r="E22" i="6" s="1"/>
  <c r="F21" i="6" s="1"/>
  <c r="G10" i="7"/>
  <c r="F30" i="4"/>
  <c r="G11" i="7" s="1"/>
  <c r="D4" i="8" s="1"/>
  <c r="E7" i="5" l="1"/>
  <c r="E9" i="5" s="1"/>
  <c r="E16" i="5" s="1"/>
  <c r="F12" i="7"/>
  <c r="D26" i="7"/>
  <c r="D3" i="8"/>
  <c r="F31" i="4"/>
  <c r="F22" i="6" s="1"/>
  <c r="G12" i="7"/>
  <c r="D27" i="7" l="1"/>
  <c r="D28" i="7" s="1"/>
  <c r="H16" i="7" s="1"/>
  <c r="D30" i="7" s="1"/>
  <c r="E17" i="5"/>
  <c r="F7" i="5"/>
  <c r="F9" i="5" s="1"/>
  <c r="F16" i="5" s="1"/>
  <c r="F17" i="5" s="1"/>
  <c r="C9" i="8"/>
  <c r="C5" i="8"/>
  <c r="D9" i="8"/>
  <c r="D5" i="8"/>
  <c r="D15" i="5"/>
  <c r="D17" i="5" s="1"/>
  <c r="D20" i="7" l="1"/>
  <c r="D19" i="6"/>
  <c r="D19" i="5"/>
  <c r="D18" i="5"/>
  <c r="E18" i="5" s="1"/>
  <c r="F18" i="5" s="1"/>
  <c r="D18" i="6" l="1"/>
  <c r="D17" i="6" s="1"/>
  <c r="E19" i="6"/>
  <c r="E19" i="5"/>
  <c r="D16" i="6"/>
  <c r="D12" i="6" s="1"/>
  <c r="D7" i="6" s="1"/>
  <c r="D31" i="7"/>
  <c r="D29" i="6" l="1"/>
  <c r="E18" i="6"/>
  <c r="E17" i="6" s="1"/>
  <c r="B15" i="8"/>
  <c r="B17" i="8"/>
  <c r="B19" i="8" s="1"/>
  <c r="E16" i="6"/>
  <c r="E12" i="6" s="1"/>
  <c r="E7" i="6" s="1"/>
  <c r="E29" i="6" s="1"/>
  <c r="F19" i="5"/>
  <c r="F16" i="6" s="1"/>
  <c r="F12" i="6" s="1"/>
  <c r="F7" i="6" s="1"/>
  <c r="F19" i="6"/>
  <c r="F18" i="6" s="1"/>
  <c r="F17" i="6" s="1"/>
  <c r="D28" i="6" l="1"/>
  <c r="F28" i="6"/>
  <c r="F29" i="6"/>
  <c r="E28" i="6"/>
</calcChain>
</file>

<file path=xl/sharedStrings.xml><?xml version="1.0" encoding="utf-8"?>
<sst xmlns="http://schemas.openxmlformats.org/spreadsheetml/2006/main" count="1139" uniqueCount="299">
  <si>
    <t>Pénzügyi terv</t>
  </si>
  <si>
    <t>Források</t>
  </si>
  <si>
    <t>Feltételezések</t>
  </si>
  <si>
    <t>A bérek és a bérleti díjak + rezsiköltségek esetében 4,6%-os inflációs rátával számolunk.</t>
  </si>
  <si>
    <t>A valóságban egy felhasználónak egynél több bercode-ja lehet különböző kibocsátóktól, ami növeli annak valószínűségét, hogy gyakrabban használja azokat (38., 70. és 102. bemeneti sor).</t>
  </si>
  <si>
    <t>Az influencer piac statisztikái:</t>
  </si>
  <si>
    <t>https://influencermarketinghub.com/influencer-marketing-benchmark-report/</t>
  </si>
  <si>
    <t>Hűségprogramok statisztikái:</t>
  </si>
  <si>
    <t>https://www.statista.com/topics/7986/loyalty-programs-in-the-us/#topicOverview</t>
  </si>
  <si>
    <t>Az amerikai fizetések forrása: 39. A teljes munkaidőben foglalkoztatott bérmunkások heti átlagkeresete részletes foglalkozás és nem szerint</t>
  </si>
  <si>
    <t>https://www.bls.gov/cps/cpsaat39.htm</t>
  </si>
  <si>
    <t>Átlagos fizetések Indiában</t>
  </si>
  <si>
    <t>http://www.salaryexplorer.com</t>
  </si>
  <si>
    <t>Magyar fizetések: Hays fizetési útmutató 2022</t>
  </si>
  <si>
    <t>https://image.email.hays.com/lib/fe4515707564057c751477/m/6/f7f76436-3389-444b-b0e3-b83800f868c4.pdf</t>
  </si>
  <si>
    <t>Irodabérlés az USA-ban</t>
  </si>
  <si>
    <t xml:space="preserve">https://www.loopnet.com </t>
  </si>
  <si>
    <t>Irodabérlés Indiában</t>
  </si>
  <si>
    <t>https://www.olx.in/for-rent-shops-offices_c1731?filter=furnished_eq_yes</t>
  </si>
  <si>
    <t>EBITDA szektorokban</t>
  </si>
  <si>
    <t>https://medium.com/ad4ventures/basic-guide-to-startups-valuation-over-its-life-from-inception-to-exit-73b7cb23bc39</t>
  </si>
  <si>
    <t>A YouTube, Instagram és TikTok influencerek követőinek száma</t>
  </si>
  <si>
    <t>https://increditools.com/influencers/</t>
  </si>
  <si>
    <t>B2B e-kereskedelem növekedése</t>
  </si>
  <si>
    <t xml:space="preserve">https://www.grandviewresearch.com/industry-analysis/business-to-business-b2b-e-commerce-market </t>
  </si>
  <si>
    <t>Átlagos rendelési érték az USA-ban és Európában</t>
  </si>
  <si>
    <t>https://dash.app/blog/ecommerce-statistics</t>
  </si>
  <si>
    <t>Átlagos rendelési érték Délkelet-Ázsiában</t>
  </si>
  <si>
    <t>https://www.mckinsey.com/industries/travel-logistics-and-infrastructure/our-insights/e-commerce-is-entering-a-new-phase-in-southeast-asia-are-logistics-players-prepared</t>
  </si>
  <si>
    <t>Diszkontráta</t>
  </si>
  <si>
    <t>https://leeds-faculty.colorado.edu/bhagat/Bhagat-JRF-2014.pdf</t>
  </si>
  <si>
    <t>Az igazság az ügyfélhűségről</t>
  </si>
  <si>
    <t>https://home.kpmg/xx/en/home/insights/2019/11/customer-loyalty-survey.html</t>
  </si>
  <si>
    <t>Struktúra</t>
  </si>
  <si>
    <t>Cella formátum</t>
  </si>
  <si>
    <t>Szerkeszthető cellák</t>
  </si>
  <si>
    <t>Számítási cellák</t>
  </si>
  <si>
    <t>Támogató cellák</t>
  </si>
  <si>
    <t>Bemenet</t>
  </si>
  <si>
    <t>Unit</t>
  </si>
  <si>
    <t>Comment</t>
  </si>
  <si>
    <t>Általános</t>
  </si>
  <si>
    <t>Kezdő dátum</t>
  </si>
  <si>
    <t>A modell az 1. évet havi bontásban, a 2. évet negyedéves bontásban, a 3. évet pedig éves bontásban számítja ki.</t>
  </si>
  <si>
    <t>Állami adó Delaware-ben</t>
  </si>
  <si>
    <t>%</t>
  </si>
  <si>
    <t>Szövetségi adókulcs az USA-ban</t>
  </si>
  <si>
    <t>Bérjárulékok az USA-ban - munkáltató</t>
  </si>
  <si>
    <t>A bruttó bérek esetében.</t>
  </si>
  <si>
    <t>Az európai kontinens bevételei</t>
  </si>
  <si>
    <t>1. Bercode-kibocsátók</t>
  </si>
  <si>
    <t>1.1. Szakszervezetek, kamarák és NGO-k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</si>
  <si>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</si>
  <si>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</si>
  <si>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</si>
  <si>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</si>
  <si>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</si>
  <si>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</si>
  <si>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</si>
  <si>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</si>
  <si>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</si>
  <si>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</si>
  <si>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</si>
  <si>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</si>
  <si>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Q1</t>
  </si>
  <si>
    <t>Q2</t>
  </si>
  <si>
    <t>Q3</t>
  </si>
  <si>
    <t>Q4</t>
  </si>
  <si>
    <t>Year 3</t>
  </si>
  <si>
    <t>Havi növekedési ráta</t>
  </si>
  <si>
    <t>Infó lap - 20.sor</t>
  </si>
  <si>
    <t>Partner szakszervezetek, kamarák száma</t>
  </si>
  <si>
    <t>bercode-kibocsátók / hónap</t>
  </si>
  <si>
    <t>az alapszám a már meglévő magyarországi partnereket jelenti</t>
  </si>
  <si>
    <t>Díjköteles csomagokat választó szakszervezetek / kamarák száma</t>
  </si>
  <si>
    <t>a magyar piacon szerzett saját tapasztalatok alapján</t>
  </si>
  <si>
    <t>Átlagos taglétszám / szakszervezetek, kamarák és civil szervezetek</t>
  </si>
  <si>
    <t>emberek / szakszervezet &amp; kamara &amp; civil szervezet</t>
  </si>
  <si>
    <t>A BB Inc. fizetős bercode-ból származó átlagos bevétel</t>
  </si>
  <si>
    <t>USD / bercode</t>
  </si>
  <si>
    <t>bercode díj</t>
  </si>
  <si>
    <t>Bercode-értékesítésből származó teljes bevétel</t>
  </si>
  <si>
    <t>USD</t>
  </si>
  <si>
    <t xml:space="preserve">1.2. Véleményformálók és sztárok </t>
  </si>
  <si>
    <t>Infó lap - 11.sor</t>
  </si>
  <si>
    <t>Véleményformálók és sztárok száma</t>
  </si>
  <si>
    <t>véleményformálók és sztárok</t>
  </si>
  <si>
    <t>A gyors növekedés maximalizálható a marketingügynökségek és a nagyobb sportklubok bevonásával is. Lásd még az infó lap 19. sorát. A MediaKix 3,2 millió - 37,8 millióra becsüli az Instagram, YouTube és TikTok influencerek számát.</t>
  </si>
  <si>
    <t>Rajongók átlagos száma / véleményformáló és sztár</t>
  </si>
  <si>
    <t>rajongók / véleményformáló és sztár</t>
  </si>
  <si>
    <t>Infó lap 19. sor. A MediaKix 3,2 millió - 37,8 millióra becsüli az Instagram, YouTube és TikTok influencerek számát.</t>
  </si>
  <si>
    <t>Ingyenes és fizetős bercode felhasználók / rajongók száma összesen</t>
  </si>
  <si>
    <t>A Z generáció 47%-a fizetne azért, hogy hűségprogram-tagságukat frissítse. (Bond)</t>
  </si>
  <si>
    <t xml:space="preserve">Ingyenes és fizetős bercode felhasználók száma </t>
  </si>
  <si>
    <t>bercode felhasználók</t>
  </si>
  <si>
    <t xml:space="preserve">Fizetős bercode felhasználók / Ingyenes és fizetős bercode felhasználók száma </t>
  </si>
  <si>
    <t xml:space="preserve">% </t>
  </si>
  <si>
    <t>Az ügyfelek 37%-a hajlandó fizetni azért, hogy egy hűségprogram magasabb szintjére léphessen. (Bond)</t>
  </si>
  <si>
    <t>A BB Inc. fizetett bercode-okból származó átlagos bevétele</t>
  </si>
  <si>
    <t>USD/bercode</t>
  </si>
  <si>
    <t>2. Kereskedők - Forgalomszervezési jutalék</t>
  </si>
  <si>
    <t>A bercode-felhasználók száma</t>
  </si>
  <si>
    <t>darab</t>
  </si>
  <si>
    <t>az EU lakosságának a 3. évben bevonásra kerül.</t>
  </si>
  <si>
    <t>Átlagos bercode szám / bercode-felhasználó</t>
  </si>
  <si>
    <t>átlagos bercode szám</t>
  </si>
  <si>
    <t>A forgalomban lévő bercode-ok száma</t>
  </si>
  <si>
    <t>A bercode-felhasználók által használt bercode-ok %-ának aránya</t>
  </si>
  <si>
    <t>A fogyasztók 18%-a vesz részt minden olyan hűségprogramban, amelynek tagja. (Code Broker)</t>
  </si>
  <si>
    <t>A használt bercode-ok száma</t>
  </si>
  <si>
    <t>darab/hó</t>
  </si>
  <si>
    <t>A bercode-felhasználók vásárlásainak átlagos kosár/megrendelés értéke</t>
  </si>
  <si>
    <t>Infó lap - 21.sor.</t>
  </si>
  <si>
    <t>A forgalomszervezési jutalékot fizető kereskedők %-a</t>
  </si>
  <si>
    <t>saját tapasztalatok alapján a magyarországi rendszer lehetővé teszi azt is, hogy a partnerek ne fizessenek akvizíciós jutalékot.</t>
  </si>
  <si>
    <t>Forgalomszervezési jutalék (min. 3%)</t>
  </si>
  <si>
    <t>platform feltétel</t>
  </si>
  <si>
    <t>Forgalomszervezési jutalék összesen</t>
  </si>
  <si>
    <t>Az amerikai kontinens bevételei</t>
  </si>
  <si>
    <t>saját tapasztalatok alapján</t>
  </si>
  <si>
    <t>saját előrejelzés</t>
  </si>
  <si>
    <t>Canada és USA lakosságának a 3. évben bevonásra kerül.</t>
  </si>
  <si>
    <t>Infó lap - 12.sor. Az átlagos fogyasztó 14,8 hűségprogramhoz tartozik, de csak 6,7 programban aktív. (Bond)</t>
  </si>
  <si>
    <t>Az ázsiai kontinens bevételei</t>
  </si>
  <si>
    <t>India lakosságának a 3. évben bevonásra kerül.</t>
  </si>
  <si>
    <t>Infó lap - 22.sor.</t>
  </si>
  <si>
    <t>Európai kontinens OPEX</t>
  </si>
  <si>
    <t>Kifizetett forgalomszervezési jutalékok</t>
  </si>
  <si>
    <t>Bercode-kibocsátóknak fizetett forgalomszervezési jutalékok / bercode használat</t>
  </si>
  <si>
    <t>Bercode-kibocsátóknak fizetett forgalomszervezési jutalékok / kereskedő</t>
  </si>
  <si>
    <t>Irodai és adminisztrációs költségek</t>
  </si>
  <si>
    <t>Irodabérleti díj + általános költségek</t>
  </si>
  <si>
    <t>Meglévő budapesti iroda bérleti díja és általános költségek (szerződés alapján). 4,6%-os inflációs rátával számolva.</t>
  </si>
  <si>
    <t>Marketing és üzletfejlesztés</t>
  </si>
  <si>
    <t>Szponzoráció hírességek számára a piac beindításához</t>
  </si>
  <si>
    <t>PR-videók díja hírességek/véleményformálók számára az európai kontinensen</t>
  </si>
  <si>
    <t>Online hirdetések - Facebook, Instagram, TikTok</t>
  </si>
  <si>
    <t>Minden egyes platformra 500 USD/hó (Fb, Instagram és TikTok).</t>
  </si>
  <si>
    <t>Egyéb működési költségek</t>
  </si>
  <si>
    <t>Utazás</t>
  </si>
  <si>
    <t>autó üzemanyag, repülőjegyek, szállás a nemzetközi terjeszkedés érdekében</t>
  </si>
  <si>
    <t>Külső szolgáltatások</t>
  </si>
  <si>
    <t>Platformfejlesztés (új modulok, fordítások)</t>
  </si>
  <si>
    <t>új modulok, más nyelvek a platformhoz</t>
  </si>
  <si>
    <t>Könyvelés</t>
  </si>
  <si>
    <t>könyvelés</t>
  </si>
  <si>
    <t>Jogi tanácsadás</t>
  </si>
  <si>
    <t>a jogszabályoknak való megfelelés</t>
  </si>
  <si>
    <t>Külső HR</t>
  </si>
  <si>
    <t>a magyar vállalatnál már meglévő személyzet - az EU kontinensért felelős (support, titkárnő, menedzsment, marketing, senior+junior IT fejlesztő). 4,6%-os inflációs rátával számolva.</t>
  </si>
  <si>
    <t xml:space="preserve">Junior IT fejlesztő </t>
  </si>
  <si>
    <t>Teljes munkaidő egyenérték</t>
  </si>
  <si>
    <t>külső szolgáltatás</t>
  </si>
  <si>
    <t xml:space="preserve">Senior IT fejlesztő </t>
  </si>
  <si>
    <t xml:space="preserve">Támogatás </t>
  </si>
  <si>
    <t xml:space="preserve">Menedzsment </t>
  </si>
  <si>
    <t xml:space="preserve">Titkárság </t>
  </si>
  <si>
    <t>külső szolgáltatás, mivel Európában több nyelven is elérhető</t>
  </si>
  <si>
    <t xml:space="preserve">Online marketing manager </t>
  </si>
  <si>
    <t>Bruttó bérek</t>
  </si>
  <si>
    <t>Felhasználók/partnerek támogatása</t>
  </si>
  <si>
    <t>USD/év</t>
  </si>
  <si>
    <t>Maximális havi kereset Magyarországon a Hays salary guide 2020 alapján: 2 100 usd terméktámogatási specialista (Product support specialist)</t>
  </si>
  <si>
    <t>Junior IT fejlesztő</t>
  </si>
  <si>
    <t>Maximális havi kereset Magyarországon a Hays salary guide 2020 alapján: 4 000 usd System Expert Engineer</t>
  </si>
  <si>
    <t>Szenior informatikai fejlesztő</t>
  </si>
  <si>
    <t>Maximális havi kereset Magyarországon a Hays salary guide 2020 alapján: 6 000 usd for Project Manager, 5+ év tapasztalat</t>
  </si>
  <si>
    <t>Menedzsment</t>
  </si>
  <si>
    <t>Maximális havi kereset Magyarországon a Hays salary guide 2020 alapján: 10 000 usd ügyvezető igazgató</t>
  </si>
  <si>
    <t>Titkárság</t>
  </si>
  <si>
    <t>Maximális havi kereset Magyarországon a Hays salary guide 2020 alapján: 2 100 usd for Executive Assistant (3+ év tapasztalat)</t>
  </si>
  <si>
    <t>Online marketing menedzser</t>
  </si>
  <si>
    <t>Maximális havi kereset Magyarországon a Hays salary guide 2020 alapján: 3 000 usd Online Marketing Manager</t>
  </si>
  <si>
    <t>Amerikai kontinens OPEX</t>
  </si>
  <si>
    <t>Személyi kiadások</t>
  </si>
  <si>
    <t>Teljes munkaidő egyenérték száma</t>
  </si>
  <si>
    <t>Az amerikai kontinens felhasználóinak/partnereinek támogatása</t>
  </si>
  <si>
    <t>belső munkatárs</t>
  </si>
  <si>
    <t xml:space="preserve">Management </t>
  </si>
  <si>
    <t>Marketing menedzser</t>
  </si>
  <si>
    <t>Bruttó bérek, 4,6%-os inflációs rátával.</t>
  </si>
  <si>
    <t>A felhasználók/partnerek támogatása</t>
  </si>
  <si>
    <t>Heti átlagkereset a https://www.bls.gov/cps/cpsaat39.htm alapján: 925 usd az irodai és adminisztratív támogatás esetében</t>
  </si>
  <si>
    <t>bruttó bér</t>
  </si>
  <si>
    <t>Heti átlagkereset a https://www.bls.gov/cps/cpsaat39.htm alapján: 2 701 usd a vezető beosztásúak esetében.</t>
  </si>
  <si>
    <t>Heti átlagkereset a https://www.bls.gov/cps/cpsaat39.htm alapján: 1 037 usd a vezetői titkárságvezetők és vezetői adminisztratív asszisztensek esetében</t>
  </si>
  <si>
    <t>Heti átlagkereset a https://www.bls.gov/cps/cpsaat39.htm alapján: 1 729 usd a marketing menedzserek esetében</t>
  </si>
  <si>
    <t>USD/hó</t>
  </si>
  <si>
    <t>Los Angeles, Pasadena nad New York - https://www.loopnet.com, 1100SF, 3,65 USD/SF/hó + fenntartott parkoló 200 usd. 4,6%-os inflációval számolva.</t>
  </si>
  <si>
    <t>Telefon és internet</t>
  </si>
  <si>
    <t>USD/Teljes munkaidő egyenérték/hó</t>
  </si>
  <si>
    <t>75 usd átalányköltség/munkavállaló</t>
  </si>
  <si>
    <t>Autólízing a menedzsment számára</t>
  </si>
  <si>
    <t>1000 usd átalányköltség/iroda</t>
  </si>
  <si>
    <t>PR-videók díja hírességek/véleményformálók számára az amerikai kontinensen</t>
  </si>
  <si>
    <t>Minden egyes platformra 1000 USD/hó (Fb, Instagram és TikTok).</t>
  </si>
  <si>
    <t>1000 usd átalánydíj /autó üzemanyag, repülőjegyek, szállás az amerikai bővítéshez/ irodához</t>
  </si>
  <si>
    <t>Ázsiai kontinens OPEX</t>
  </si>
  <si>
    <t>Támogatás a felhasználók/partnerek számára Ázsia kontinens</t>
  </si>
  <si>
    <t>Átlagos éves kereset a http://www.salaryexplorer.com/salary-survey.php?loc=100&amp;loctype=1&amp;job=1&amp;jobtype=1 alapján: 261600 INR=3185 usd - Help Desk Support</t>
  </si>
  <si>
    <t>Átlagos éves kereset a http://www.salaryexplorer.com/salary-survey.php?loc=100&amp;loctype=1&amp;job=309&amp;jobtype=3 alapján: 855600 INR=10418 usd - Chief Executive Officer</t>
  </si>
  <si>
    <t>Átlagos éves kereset a http://www.salaryexplorer.com/salary-survey.php?loc=100&amp;loctype=1&amp;job=26&amp;jobtype=3 alapján: 331200 INR=4033 usd - Irodavezető</t>
  </si>
  <si>
    <t>Átlagos éves kereset a http://www.salaryexplorer.com/salary-survey.php?loc=100&amp;loctype=1&amp;job=11244&amp;jobtype=3 alapján: 370800 INR=4515 usd - Social Media Specialist</t>
  </si>
  <si>
    <t>New Delhi, Kolkata, Mumbai - 750 usd/100sm iroda + fenntartott parkoló, 4,6%-os inflációval számolva</t>
  </si>
  <si>
    <t>50 usd átalányköltség/munkavállaló</t>
  </si>
  <si>
    <t>PR-videók díja hírességek/véleményformálók számára az ázsiai kontinensen</t>
  </si>
  <si>
    <t>For each platform 1000 USD/month (Fb, Instagram &amp; TikTok adds).</t>
  </si>
  <si>
    <t>1000 usd átalány /autó üzemanyag, repülőjegyek, szállás az amerikai bővítéshez/ irodához</t>
  </si>
  <si>
    <t>Váratlan események</t>
  </si>
  <si>
    <t xml:space="preserve">Az összes OPEX tétel összege </t>
  </si>
  <si>
    <t>CAPEX</t>
  </si>
  <si>
    <t>Hardver az alkalmazottak számára</t>
  </si>
  <si>
    <t>Egy alkalmazottra jutó költség</t>
  </si>
  <si>
    <t>USD/Teljes munkaidő egyenérték</t>
  </si>
  <si>
    <t>Számítógép + tartozékok, telefon</t>
  </si>
  <si>
    <t>Amortizáció</t>
  </si>
  <si>
    <t>Feltételezve a január 1-jei beruházást</t>
  </si>
  <si>
    <t>Számítás</t>
  </si>
  <si>
    <t>Egység</t>
  </si>
  <si>
    <t>1.év</t>
  </si>
  <si>
    <t>2.év</t>
  </si>
  <si>
    <t>3.év</t>
  </si>
  <si>
    <t>Bevételek</t>
  </si>
  <si>
    <t>Szakszervezetek, kamarák és NGO-k</t>
  </si>
  <si>
    <t xml:space="preserve">Véleményformálók és sztárok </t>
  </si>
  <si>
    <t>Forgalomszervezési jutalék</t>
  </si>
  <si>
    <t>Bérjárulékok</t>
  </si>
  <si>
    <t>Új berendezések költségei</t>
  </si>
  <si>
    <t>Year 1</t>
  </si>
  <si>
    <t>Year 2</t>
  </si>
  <si>
    <t>Nettó érték</t>
  </si>
  <si>
    <t>Nyereség vs veszteség</t>
  </si>
  <si>
    <t>Bercode-kibocsátóktól származó bevételek</t>
  </si>
  <si>
    <t>Teljes bevétel</t>
  </si>
  <si>
    <t>Bérek</t>
  </si>
  <si>
    <t>Váratlan kiadások</t>
  </si>
  <si>
    <t>Anyagköltségek</t>
  </si>
  <si>
    <t>Egyéb költségek</t>
  </si>
  <si>
    <t>Üzemi eredmény</t>
  </si>
  <si>
    <t>Pénzügyi eredmény</t>
  </si>
  <si>
    <t>Nem vállalt pénzügyi tevékenység</t>
  </si>
  <si>
    <t>Adózás előtti eredmény</t>
  </si>
  <si>
    <t>Adó</t>
  </si>
  <si>
    <t>Pénzforgalom</t>
  </si>
  <si>
    <t>Adózás utáni eredmény</t>
  </si>
  <si>
    <t>MŰKÖDÉSI CASH FLOW</t>
  </si>
  <si>
    <t>Hardver a munkavállalók számára</t>
  </si>
  <si>
    <t>BERUHÁZÁSI CASH FLOW</t>
  </si>
  <si>
    <t>Kockázati tőke</t>
  </si>
  <si>
    <t>FINANSZÍROZÁSI CASH FLOW</t>
  </si>
  <si>
    <t>SZABAD CASH FLOW - VC NÉLKÜL</t>
  </si>
  <si>
    <t>SZABAD CASH FLOW - VC-VEL</t>
  </si>
  <si>
    <t>Összevont cash flow - VC nélkül</t>
  </si>
  <si>
    <t>Cummulált cash flow - kockázati tőkével</t>
  </si>
  <si>
    <t>Mérleg (egyszerűsített)</t>
  </si>
  <si>
    <t>ESZKÖZÖK</t>
  </si>
  <si>
    <t>Befektetett eszközök</t>
  </si>
  <si>
    <t>Immateriális javak</t>
  </si>
  <si>
    <t>Tárgyi eszközök</t>
  </si>
  <si>
    <t>Pénzügyi befektetések</t>
  </si>
  <si>
    <t>Forgóeszközök</t>
  </si>
  <si>
    <t>Készletek</t>
  </si>
  <si>
    <t>Követelések</t>
  </si>
  <si>
    <t>Értékpapírok</t>
  </si>
  <si>
    <t>Likvid eszközök</t>
  </si>
  <si>
    <t>PÉNZÜGYEK</t>
  </si>
  <si>
    <t>Saját tőke</t>
  </si>
  <si>
    <t>Jegyzett tőke</t>
  </si>
  <si>
    <t>VC investment</t>
  </si>
  <si>
    <t>Tőketartalék</t>
  </si>
  <si>
    <t>Felhalmozott eredménytartalék</t>
  </si>
  <si>
    <t>Az év nyeresége vagy vesztesége</t>
  </si>
  <si>
    <t>Kötelezettségek</t>
  </si>
  <si>
    <t>Alárendelt kötelezettségek</t>
  </si>
  <si>
    <t>Hosszú lejáratú kötelezettségek</t>
  </si>
  <si>
    <t>Rövid lejáratú kötelezettségek</t>
  </si>
  <si>
    <t>Check</t>
  </si>
  <si>
    <t>Értékelés</t>
  </si>
  <si>
    <t>Végső érték</t>
  </si>
  <si>
    <t>FCFF</t>
  </si>
  <si>
    <t>Fizetendő adó</t>
  </si>
  <si>
    <t>NOPAT</t>
  </si>
  <si>
    <t>Beruházások</t>
  </si>
  <si>
    <t>Paraméterek</t>
  </si>
  <si>
    <t>Infó lap - 23.sor.</t>
  </si>
  <si>
    <t>Örökös növekedési ráta</t>
  </si>
  <si>
    <t>EV/EBITDA többszörös</t>
  </si>
  <si>
    <t>Infó lap - 18.sor.</t>
  </si>
  <si>
    <t>Átlagos</t>
  </si>
  <si>
    <t>A vállalat értéke a 3. év végén</t>
  </si>
  <si>
    <t>A befektető részesedése</t>
  </si>
  <si>
    <t>Részvények a befektetőnek</t>
  </si>
  <si>
    <t>Az FCFF ROI-ja</t>
  </si>
  <si>
    <t>Hozam USD-ben</t>
  </si>
  <si>
    <t>ROI a vállalat értékéből</t>
  </si>
  <si>
    <t>ROI=(Current Value of Investment−Cost of Investment​​)/Cost of Investment</t>
  </si>
  <si>
    <t xml:space="preserve">Bér- és beszállítói tartozás </t>
  </si>
  <si>
    <t>Tagi kölcsön visszafizetés</t>
  </si>
  <si>
    <t>Finanszírozás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</si>
</sst>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##\ ###\ ###\ ###\ ###\ ###\ ##0"/>
    <numFmt numFmtId="166" formatCode="###"/>
    <numFmt numFmtId="167" formatCode="###.###\ ###\ ###\ ###\ ##0"/>
  </numFmts>
  <fonts count="20" x14ac:knownFonts="1">
    <font>
      <sz val="10"/>
      <color rgb="FF000000"/>
      <name val="Arial"/>
    </font>
    <font>
      <b/>
      <sz val="14"/>
      <color rgb="FF1155CC"/>
      <name val="Arial"/>
      <family val="2"/>
      <charset val="238"/>
    </font>
    <font>
      <b/>
      <sz val="12"/>
      <color rgb="FF1155CC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1155CC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CCCCCC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D9D9D9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999999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6FC"/>
        <bgColor rgb="FFD9E6FC"/>
      </patternFill>
    </fill>
    <fill>
      <patternFill patternType="solid">
        <fgColor rgb="FF1C4587"/>
        <bgColor rgb="FF1C4587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9DAF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4A86E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/>
    <xf numFmtId="0" fontId="3" fillId="0" borderId="0" xfId="0" applyFont="1" applyAlignment="1">
      <alignment wrapText="1"/>
    </xf>
    <xf numFmtId="0" fontId="3" fillId="3" borderId="2" xfId="0" applyFont="1" applyFill="1" applyBorder="1"/>
    <xf numFmtId="0" fontId="3" fillId="0" borderId="2" xfId="0" applyFont="1" applyBorder="1"/>
    <xf numFmtId="0" fontId="6" fillId="0" borderId="2" xfId="0" applyFont="1" applyBorder="1"/>
    <xf numFmtId="0" fontId="3" fillId="0" borderId="0" xfId="0" applyFont="1" applyAlignment="1">
      <alignment horizontal="right"/>
    </xf>
    <xf numFmtId="0" fontId="2" fillId="0" borderId="0" xfId="0" applyFont="1"/>
    <xf numFmtId="0" fontId="3" fillId="4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3" fillId="0" borderId="0" xfId="0" applyFont="1"/>
    <xf numFmtId="14" fontId="3" fillId="3" borderId="2" xfId="0" applyNumberFormat="1" applyFont="1" applyFill="1" applyBorder="1"/>
    <xf numFmtId="14" fontId="3" fillId="0" borderId="0" xfId="0" applyNumberFormat="1" applyFont="1"/>
    <xf numFmtId="9" fontId="3" fillId="3" borderId="2" xfId="0" applyNumberFormat="1" applyFont="1" applyFill="1" applyBorder="1"/>
    <xf numFmtId="9" fontId="3" fillId="0" borderId="0" xfId="0" applyNumberFormat="1" applyFont="1"/>
    <xf numFmtId="164" fontId="3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0" fillId="4" borderId="1" xfId="0" applyFill="1" applyBorder="1"/>
    <xf numFmtId="165" fontId="3" fillId="3" borderId="3" xfId="0" applyNumberFormat="1" applyFont="1" applyFill="1" applyBorder="1"/>
    <xf numFmtId="165" fontId="3" fillId="5" borderId="3" xfId="0" applyNumberFormat="1" applyFont="1" applyFill="1" applyBorder="1"/>
    <xf numFmtId="0" fontId="0" fillId="0" borderId="0" xfId="0" applyAlignment="1">
      <alignment horizontal="right"/>
    </xf>
    <xf numFmtId="165" fontId="3" fillId="3" borderId="2" xfId="0" applyNumberFormat="1" applyFont="1" applyFill="1" applyBorder="1"/>
    <xf numFmtId="165" fontId="3" fillId="0" borderId="2" xfId="0" applyNumberFormat="1" applyFont="1" applyBorder="1"/>
    <xf numFmtId="165" fontId="3" fillId="0" borderId="0" xfId="0" applyNumberFormat="1" applyFont="1"/>
    <xf numFmtId="166" fontId="3" fillId="5" borderId="2" xfId="0" applyNumberFormat="1" applyFont="1" applyFill="1" applyBorder="1"/>
    <xf numFmtId="166" fontId="3" fillId="4" borderId="2" xfId="0" applyNumberFormat="1" applyFont="1" applyFill="1" applyBorder="1"/>
    <xf numFmtId="165" fontId="3" fillId="5" borderId="2" xfId="0" applyNumberFormat="1" applyFont="1" applyFill="1" applyBorder="1"/>
    <xf numFmtId="165" fontId="3" fillId="4" borderId="2" xfId="0" applyNumberFormat="1" applyFont="1" applyFill="1" applyBorder="1"/>
    <xf numFmtId="0" fontId="8" fillId="4" borderId="1" xfId="0" applyFont="1" applyFill="1" applyBorder="1" applyAlignment="1">
      <alignment horizontal="center"/>
    </xf>
    <xf numFmtId="165" fontId="3" fillId="6" borderId="2" xfId="0" applyNumberFormat="1" applyFont="1" applyFill="1" applyBorder="1"/>
    <xf numFmtId="4" fontId="3" fillId="4" borderId="2" xfId="0" applyNumberFormat="1" applyFont="1" applyFill="1" applyBorder="1"/>
    <xf numFmtId="165" fontId="3" fillId="4" borderId="5" xfId="0" applyNumberFormat="1" applyFont="1" applyFill="1" applyBorder="1"/>
    <xf numFmtId="0" fontId="9" fillId="0" borderId="0" xfId="0" applyFont="1"/>
    <xf numFmtId="165" fontId="0" fillId="3" borderId="2" xfId="0" applyNumberFormat="1" applyFill="1" applyBorder="1" applyAlignment="1">
      <alignment horizontal="right"/>
    </xf>
    <xf numFmtId="165" fontId="0" fillId="3" borderId="3" xfId="0" applyNumberFormat="1" applyFill="1" applyBorder="1" applyAlignment="1">
      <alignment horizontal="right"/>
    </xf>
    <xf numFmtId="165" fontId="3" fillId="3" borderId="5" xfId="0" applyNumberFormat="1" applyFont="1" applyFill="1" applyBorder="1"/>
    <xf numFmtId="0" fontId="7" fillId="7" borderId="6" xfId="0" applyFont="1" applyFill="1" applyBorder="1" applyAlignment="1">
      <alignment horizontal="center"/>
    </xf>
    <xf numFmtId="165" fontId="3" fillId="4" borderId="1" xfId="0" applyNumberFormat="1" applyFont="1" applyFill="1" applyBorder="1"/>
    <xf numFmtId="165" fontId="0" fillId="0" borderId="0" xfId="0" applyNumberFormat="1"/>
    <xf numFmtId="165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8" fillId="0" borderId="0" xfId="0" applyNumberFormat="1" applyFont="1"/>
    <xf numFmtId="0" fontId="13" fillId="0" borderId="0" xfId="0" applyFont="1"/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165" fontId="8" fillId="3" borderId="1" xfId="0" applyNumberFormat="1" applyFont="1" applyFill="1" applyBorder="1"/>
    <xf numFmtId="0" fontId="8" fillId="3" borderId="1" xfId="0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14" fillId="0" borderId="0" xfId="0" applyFont="1"/>
    <xf numFmtId="0" fontId="8" fillId="0" borderId="0" xfId="0" applyFont="1" applyAlignment="1">
      <alignment horizontal="right"/>
    </xf>
    <xf numFmtId="10" fontId="0" fillId="3" borderId="2" xfId="0" applyNumberForma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3" fillId="8" borderId="7" xfId="0" applyFont="1" applyFill="1" applyBorder="1"/>
    <xf numFmtId="0" fontId="3" fillId="8" borderId="8" xfId="0" applyFont="1" applyFill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3" fillId="8" borderId="10" xfId="0" applyFont="1" applyFill="1" applyBorder="1"/>
    <xf numFmtId="0" fontId="3" fillId="8" borderId="11" xfId="0" applyFont="1" applyFill="1" applyBorder="1" applyAlignment="1">
      <alignment horizontal="right"/>
    </xf>
    <xf numFmtId="10" fontId="3" fillId="8" borderId="12" xfId="0" applyNumberFormat="1" applyFont="1" applyFill="1" applyBorder="1"/>
    <xf numFmtId="0" fontId="10" fillId="0" borderId="0" xfId="0" applyFont="1" applyAlignment="1">
      <alignment horizontal="center"/>
    </xf>
    <xf numFmtId="0" fontId="10" fillId="0" borderId="2" xfId="0" applyFont="1" applyBorder="1"/>
    <xf numFmtId="3" fontId="0" fillId="6" borderId="2" xfId="0" applyNumberFormat="1" applyFill="1" applyBorder="1"/>
    <xf numFmtId="0" fontId="0" fillId="0" borderId="2" xfId="0" applyBorder="1"/>
    <xf numFmtId="10" fontId="0" fillId="6" borderId="2" xfId="0" applyNumberFormat="1" applyFill="1" applyBorder="1"/>
    <xf numFmtId="9" fontId="0" fillId="0" borderId="0" xfId="0" applyNumberFormat="1"/>
    <xf numFmtId="0" fontId="5" fillId="0" borderId="0" xfId="1" applyAlignment="1"/>
    <xf numFmtId="0" fontId="1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15" fillId="0" borderId="13" xfId="0" applyFont="1" applyBorder="1" applyAlignment="1">
      <alignment wrapText="1"/>
    </xf>
    <xf numFmtId="0" fontId="5" fillId="0" borderId="13" xfId="1" applyBorder="1" applyAlignment="1"/>
    <xf numFmtId="0" fontId="13" fillId="9" borderId="0" xfId="0" applyFont="1" applyFill="1"/>
    <xf numFmtId="10" fontId="0" fillId="9" borderId="2" xfId="0" applyNumberFormat="1" applyFill="1" applyBorder="1" applyAlignment="1">
      <alignment horizontal="right"/>
    </xf>
    <xf numFmtId="0" fontId="15" fillId="4" borderId="1" xfId="0" applyFont="1" applyFill="1" applyBorder="1"/>
    <xf numFmtId="164" fontId="3" fillId="3" borderId="2" xfId="0" applyNumberFormat="1" applyFont="1" applyFill="1" applyBorder="1"/>
    <xf numFmtId="10" fontId="3" fillId="3" borderId="2" xfId="0" applyNumberFormat="1" applyFont="1" applyFill="1" applyBorder="1"/>
    <xf numFmtId="0" fontId="15" fillId="0" borderId="0" xfId="0" applyFont="1" applyAlignment="1">
      <alignment horizontal="right"/>
    </xf>
    <xf numFmtId="0" fontId="15" fillId="0" borderId="0" xfId="0" applyFont="1"/>
    <xf numFmtId="3" fontId="0" fillId="0" borderId="0" xfId="0" applyNumberFormat="1"/>
    <xf numFmtId="10" fontId="10" fillId="6" borderId="2" xfId="0" applyNumberFormat="1" applyFont="1" applyFill="1" applyBorder="1"/>
    <xf numFmtId="12" fontId="3" fillId="3" borderId="2" xfId="0" applyNumberFormat="1" applyFont="1" applyFill="1" applyBorder="1"/>
    <xf numFmtId="165" fontId="3" fillId="10" borderId="2" xfId="0" applyNumberFormat="1" applyFont="1" applyFill="1" applyBorder="1"/>
    <xf numFmtId="9" fontId="3" fillId="5" borderId="14" xfId="2" applyFont="1" applyFill="1" applyBorder="1" applyAlignment="1"/>
    <xf numFmtId="165" fontId="19" fillId="3" borderId="2" xfId="0" applyNumberFormat="1" applyFont="1" applyFill="1" applyBorder="1"/>
    <xf numFmtId="0" fontId="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9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3" fillId="9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8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5" fillId="0" borderId="2" xfId="1" applyBorder="1"/>
    <xf numFmtId="0" fontId="5" fillId="0" borderId="2" xfId="1" applyBorder="1" applyAlignment="1">
      <alignment wrapText="1"/>
    </xf>
    <xf numFmtId="0" fontId="5" fillId="0" borderId="5" xfId="1" applyBorder="1"/>
    <xf numFmtId="0" fontId="4" fillId="0" borderId="4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9" borderId="0" xfId="0" applyFont="1" applyFill="1" applyAlignment="1">
      <alignment horizontal="right"/>
    </xf>
    <xf numFmtId="0" fontId="4" fillId="0" borderId="4" xfId="0" applyFont="1" applyBorder="1"/>
    <xf numFmtId="3" fontId="10" fillId="0" borderId="0" xfId="0" applyNumberFormat="1" applyFont="1"/>
    <xf numFmtId="0" fontId="10" fillId="0" borderId="0" xfId="0" applyFont="1" applyAlignment="1">
      <alignment wrapText="1"/>
    </xf>
    <xf numFmtId="167" fontId="0" fillId="0" borderId="0" xfId="0" applyNumberFormat="1"/>
    <xf numFmtId="165" fontId="14" fillId="0" borderId="0" xfId="0" applyNumberFormat="1" applyFont="1" applyAlignment="1">
      <alignment horizontal="center"/>
    </xf>
  </cellXfs>
  <cellStyles count="3">
    <cellStyle name="Hivatkozás" xfId="1" builtinId="8"/>
    <cellStyle name="Normál" xfId="0" builtinId="0"/>
    <cellStyle name="Százalék" xfId="2" builtinId="5"/>
  </cellStyles>
  <dxfs count="1">
    <dxf>
      <font>
        <color rgb="FFFFFFFF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creditools.com/influencers/" TargetMode="External"/><Relationship Id="rId13" Type="http://schemas.openxmlformats.org/officeDocument/2006/relationships/hyperlink" Target="https://leeds-faculty.colorado.edu/bhagat/Bhagat-JRF-2014.pdf" TargetMode="External"/><Relationship Id="rId3" Type="http://schemas.openxmlformats.org/officeDocument/2006/relationships/hyperlink" Target="https://www.bls.gov/cps/cpsaat39.htm" TargetMode="External"/><Relationship Id="rId7" Type="http://schemas.openxmlformats.org/officeDocument/2006/relationships/hyperlink" Target="https://www.olx.in/for-rent-shops-offices_c1731?filter=furnished_eq_yes" TargetMode="External"/><Relationship Id="rId12" Type="http://schemas.openxmlformats.org/officeDocument/2006/relationships/hyperlink" Target="https://medium.com/ad4ventures/basic-guide-to-startups-valuation-over-its-life-from-inception-to-exit-73b7cb23bc39" TargetMode="External"/><Relationship Id="rId2" Type="http://schemas.openxmlformats.org/officeDocument/2006/relationships/hyperlink" Target="https://www.statista.com/topics/7986/loyalty-programs-in-the-us/" TargetMode="External"/><Relationship Id="rId1" Type="http://schemas.openxmlformats.org/officeDocument/2006/relationships/hyperlink" Target="https://influencermarketinghub.com/influencer-marketing-benchmark-report/" TargetMode="External"/><Relationship Id="rId6" Type="http://schemas.openxmlformats.org/officeDocument/2006/relationships/hyperlink" Target="https://www.loopnet.com/" TargetMode="External"/><Relationship Id="rId11" Type="http://schemas.openxmlformats.org/officeDocument/2006/relationships/hyperlink" Target="https://www.mckinsey.com/industries/travel-logistics-and-infrastructure/our-insights/e-commerce-is-entering-a-new-phase-in-southeast-asia-are-logistics-players-prepared" TargetMode="External"/><Relationship Id="rId5" Type="http://schemas.openxmlformats.org/officeDocument/2006/relationships/hyperlink" Target="https://image.email.hays.com/lib/fe4515707564057c751477/m/6/f7f76436-3389-444b-b0e3-b83800f868c4.pdf" TargetMode="External"/><Relationship Id="rId10" Type="http://schemas.openxmlformats.org/officeDocument/2006/relationships/hyperlink" Target="https://dash.app/blog/ecommerce-statistics" TargetMode="External"/><Relationship Id="rId4" Type="http://schemas.openxmlformats.org/officeDocument/2006/relationships/hyperlink" Target="http://www.salaryexplorer.com/" TargetMode="External"/><Relationship Id="rId9" Type="http://schemas.openxmlformats.org/officeDocument/2006/relationships/hyperlink" Target="https://www.grandviewresearch.com/industry-analysis/business-to-business-b2b-e-commerce-marke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outlinePr summaryBelow="0" summaryRight="0"/>
  </sheetPr>
  <dimension ref="B1:J1006"/>
  <sheetViews>
    <sheetView topLeftCell="B1" workbookViewId="0"/>
  </sheetViews>
  <sheetFormatPr defaultColWidth="14.453125" defaultRowHeight="15" customHeight="1" x14ac:dyDescent="0.25"/>
  <cols>
    <col min="1" max="1" width="3.7265625" customWidth="1"/>
    <col min="2" max="2" width="55.1796875" style="1" customWidth="1"/>
    <col min="3" max="3" width="132.1796875" customWidth="1"/>
  </cols>
  <sheetData>
    <row r="1" spans="2:10" ht="12.5" x14ac:dyDescent="0.25"/>
    <row r="2" spans="2:10" ht="20.25" customHeight="1" x14ac:dyDescent="0.4">
      <c r="B2" s="2" t="s">
        <v>0</v>
      </c>
    </row>
    <row r="3" spans="2:10" ht="15.5" x14ac:dyDescent="0.35">
      <c r="B3" s="3" t="s">
        <v>1</v>
      </c>
    </row>
    <row r="4" spans="2:10" ht="12.75" customHeight="1" x14ac:dyDescent="0.25"/>
    <row r="5" spans="2:10" ht="12.75" customHeight="1" x14ac:dyDescent="0.25">
      <c r="B5" s="4"/>
      <c r="C5" s="5"/>
      <c r="D5" s="5"/>
      <c r="E5" s="5"/>
      <c r="F5" s="5"/>
      <c r="G5" s="5"/>
      <c r="H5" s="5"/>
      <c r="I5" s="5"/>
      <c r="J5" s="5"/>
    </row>
    <row r="6" spans="2:10" ht="12.75" customHeight="1" x14ac:dyDescent="0.25"/>
    <row r="7" spans="2:10" ht="12.75" customHeight="1" x14ac:dyDescent="0.3">
      <c r="B7" s="111" t="s">
        <v>2</v>
      </c>
      <c r="C7" s="112"/>
      <c r="D7" s="112"/>
      <c r="E7" s="112"/>
      <c r="F7" s="112"/>
      <c r="G7" s="112"/>
      <c r="H7" s="112"/>
      <c r="I7" s="112"/>
      <c r="J7" s="112"/>
    </row>
    <row r="8" spans="2:10" ht="12.75" customHeight="1" x14ac:dyDescent="0.25"/>
    <row r="9" spans="2:10" ht="25" x14ac:dyDescent="0.25">
      <c r="B9" s="81" t="s">
        <v>3</v>
      </c>
    </row>
    <row r="10" spans="2:10" ht="37.5" x14ac:dyDescent="0.25">
      <c r="B10" s="113" t="s">
        <v>4</v>
      </c>
    </row>
    <row r="11" spans="2:10" ht="12.75" customHeight="1" x14ac:dyDescent="0.25">
      <c r="B11" s="7" t="s">
        <v>5</v>
      </c>
      <c r="C11" s="108" t="s">
        <v>6</v>
      </c>
    </row>
    <row r="12" spans="2:10" ht="12.75" customHeight="1" x14ac:dyDescent="0.25">
      <c r="B12" s="7" t="s">
        <v>7</v>
      </c>
      <c r="C12" s="108" t="s">
        <v>8</v>
      </c>
    </row>
    <row r="13" spans="2:10" ht="37.5" x14ac:dyDescent="0.25">
      <c r="B13" s="7" t="s">
        <v>9</v>
      </c>
      <c r="C13" s="114" t="s">
        <v>10</v>
      </c>
    </row>
    <row r="14" spans="2:10" ht="12.75" customHeight="1" x14ac:dyDescent="0.25">
      <c r="B14" s="6" t="s">
        <v>11</v>
      </c>
      <c r="C14" s="114" t="s">
        <v>12</v>
      </c>
    </row>
    <row r="15" spans="2:10" ht="12.75" customHeight="1" x14ac:dyDescent="0.25">
      <c r="B15" s="6" t="s">
        <v>13</v>
      </c>
      <c r="C15" s="109" t="s">
        <v>14</v>
      </c>
    </row>
    <row r="16" spans="2:10" ht="12.75" customHeight="1" x14ac:dyDescent="0.25">
      <c r="B16" s="7" t="s">
        <v>15</v>
      </c>
      <c r="C16" s="114" t="s">
        <v>16</v>
      </c>
    </row>
    <row r="17" spans="2:10" ht="12.75" customHeight="1" x14ac:dyDescent="0.25">
      <c r="B17" s="6" t="s">
        <v>17</v>
      </c>
      <c r="C17" s="114" t="s">
        <v>18</v>
      </c>
    </row>
    <row r="18" spans="2:10" ht="12.75" customHeight="1" x14ac:dyDescent="0.25">
      <c r="B18" s="7" t="s">
        <v>19</v>
      </c>
      <c r="C18" s="78" t="s">
        <v>20</v>
      </c>
    </row>
    <row r="19" spans="2:10" ht="12.5" x14ac:dyDescent="0.25">
      <c r="B19" s="7" t="s">
        <v>21</v>
      </c>
      <c r="C19" s="109" t="s">
        <v>22</v>
      </c>
    </row>
    <row r="20" spans="2:10" ht="12.75" customHeight="1" x14ac:dyDescent="0.25">
      <c r="B20" s="7" t="s">
        <v>23</v>
      </c>
      <c r="C20" s="8" t="s">
        <v>24</v>
      </c>
    </row>
    <row r="21" spans="2:10" ht="12.75" customHeight="1" x14ac:dyDescent="0.25">
      <c r="B21" s="7" t="s">
        <v>25</v>
      </c>
      <c r="C21" s="108" t="s">
        <v>26</v>
      </c>
    </row>
    <row r="22" spans="2:10" ht="12.75" customHeight="1" x14ac:dyDescent="0.25">
      <c r="B22" s="80" t="s">
        <v>27</v>
      </c>
      <c r="C22" s="110" t="s">
        <v>28</v>
      </c>
    </row>
    <row r="23" spans="2:10" ht="12.75" customHeight="1" x14ac:dyDescent="0.25">
      <c r="B23" s="81" t="s">
        <v>29</v>
      </c>
      <c r="C23" s="82" t="s">
        <v>30</v>
      </c>
    </row>
    <row r="24" spans="2:10" ht="12.75" customHeight="1" x14ac:dyDescent="0.25">
      <c r="B24" s="81" t="s">
        <v>31</v>
      </c>
      <c r="C24" s="82" t="s">
        <v>32</v>
      </c>
    </row>
    <row r="25" spans="2:10" ht="12.75" customHeight="1" x14ac:dyDescent="0.25">
      <c r="B25" s="79"/>
      <c r="C25" s="78"/>
    </row>
    <row r="26" spans="2:10" ht="12.75" customHeight="1" x14ac:dyDescent="0.25">
      <c r="B26" s="79"/>
      <c r="C26" s="78"/>
    </row>
    <row r="27" spans="2:10" ht="12.75" customHeight="1" x14ac:dyDescent="0.3">
      <c r="B27" s="111" t="s">
        <v>33</v>
      </c>
      <c r="C27" s="112"/>
      <c r="D27" s="112"/>
      <c r="E27" s="112"/>
      <c r="F27" s="112"/>
      <c r="G27" s="112"/>
      <c r="H27" s="112"/>
      <c r="I27" s="112"/>
      <c r="J27" s="112"/>
    </row>
    <row r="28" spans="2:10" ht="12.75" customHeight="1" x14ac:dyDescent="0.25"/>
    <row r="29" spans="2:10" ht="12.75" customHeight="1" x14ac:dyDescent="0.25"/>
    <row r="30" spans="2:10" ht="12.75" customHeight="1" x14ac:dyDescent="0.25"/>
    <row r="31" spans="2:10" ht="12.75" customHeight="1" x14ac:dyDescent="0.25"/>
    <row r="32" spans="2:10" ht="12.75" customHeight="1" x14ac:dyDescent="0.3">
      <c r="B32" s="111" t="s">
        <v>34</v>
      </c>
      <c r="C32" s="112"/>
      <c r="D32" s="112"/>
      <c r="E32" s="112"/>
      <c r="F32" s="112"/>
      <c r="G32" s="112"/>
      <c r="H32" s="112"/>
      <c r="I32" s="112"/>
      <c r="J32" s="112"/>
    </row>
    <row r="33" spans="2:3" ht="12.75" customHeight="1" x14ac:dyDescent="0.25"/>
    <row r="34" spans="2:3" ht="12.75" customHeight="1" x14ac:dyDescent="0.25">
      <c r="B34" s="9" t="s">
        <v>35</v>
      </c>
      <c r="C34" s="10">
        <v>123</v>
      </c>
    </row>
    <row r="35" spans="2:3" ht="12.75" customHeight="1" x14ac:dyDescent="0.25"/>
    <row r="36" spans="2:3" ht="12.75" customHeight="1" x14ac:dyDescent="0.25">
      <c r="B36" s="9" t="s">
        <v>36</v>
      </c>
      <c r="C36" s="11">
        <v>123</v>
      </c>
    </row>
    <row r="37" spans="2:3" ht="12.75" customHeight="1" x14ac:dyDescent="0.25"/>
    <row r="38" spans="2:3" ht="12.75" customHeight="1" x14ac:dyDescent="0.25">
      <c r="B38" s="9" t="s">
        <v>37</v>
      </c>
      <c r="C38" s="12">
        <v>123</v>
      </c>
    </row>
    <row r="39" spans="2:3" ht="12.75" customHeight="1" x14ac:dyDescent="0.25"/>
    <row r="40" spans="2:3" ht="12.75" customHeight="1" x14ac:dyDescent="0.25"/>
    <row r="41" spans="2:3" ht="12.75" customHeight="1" x14ac:dyDescent="0.25"/>
    <row r="42" spans="2:3" ht="12.75" customHeight="1" x14ac:dyDescent="0.25"/>
    <row r="43" spans="2:3" ht="12.75" customHeight="1" x14ac:dyDescent="0.25"/>
    <row r="44" spans="2:3" ht="12.75" customHeight="1" x14ac:dyDescent="0.25"/>
    <row r="45" spans="2:3" ht="12.75" customHeight="1" x14ac:dyDescent="0.25"/>
    <row r="46" spans="2:3" ht="12.75" customHeight="1" x14ac:dyDescent="0.25"/>
    <row r="47" spans="2:3" ht="12.75" customHeight="1" x14ac:dyDescent="0.25"/>
    <row r="48" spans="2: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</sheetData>
  <sheetProtection selectLockedCells="1" selectUnlockedCells="1"/>
  <hyperlinks>
    <hyperlink ref="C11" r:id="rId1" xr:uid="{00000000-0004-0000-0000-000000000000}"/>
    <hyperlink ref="C12" r:id="rId2" location="topicOverview" xr:uid="{00000000-0004-0000-0000-000001000000}"/>
    <hyperlink ref="C13" r:id="rId3" xr:uid="{00000000-0004-0000-0000-000002000000}"/>
    <hyperlink ref="C14" r:id="rId4" xr:uid="{00000000-0004-0000-0000-000003000000}"/>
    <hyperlink ref="C15" r:id="rId5" xr:uid="{00000000-0004-0000-0000-000004000000}"/>
    <hyperlink ref="C16" r:id="rId6" xr:uid="{00000000-0004-0000-0000-000005000000}"/>
    <hyperlink ref="C17" r:id="rId7" xr:uid="{00000000-0004-0000-0000-000006000000}"/>
    <hyperlink ref="C19" r:id="rId8" xr:uid="{00000000-0004-0000-0000-000008000000}"/>
    <hyperlink ref="C20" r:id="rId9" xr:uid="{00000000-0004-0000-0000-000009000000}"/>
    <hyperlink ref="C21" r:id="rId10" xr:uid="{00000000-0004-0000-0000-00000A000000}"/>
    <hyperlink ref="C22" r:id="rId11" xr:uid="{00000000-0004-0000-0000-00000B000000}"/>
    <hyperlink ref="C18" r:id="rId12" xr:uid="{68B385EE-CE90-49FC-96C6-4FCBEE77FCC8}"/>
    <hyperlink ref="C23" r:id="rId13" xr:uid="{F30D7A88-1E9D-4AB8-981E-5DB67C97CA47}"/>
  </hyperlinks>
  <pageMargins left="0.7" right="0.7" top="0.75" bottom="0.75" header="0" footer="0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outlinePr summaryBelow="0" summaryRight="0"/>
  </sheetPr>
  <dimension ref="A1:AO1110"/>
  <sheetViews>
    <sheetView topLeftCell="B1" workbookViewId="0"/>
  </sheetViews>
  <sheetFormatPr defaultColWidth="14.453125" defaultRowHeight="15" customHeight="1" outlineLevelRow="2" x14ac:dyDescent="0.25"/>
  <cols>
    <col min="1" max="1" width="3.7265625" customWidth="1"/>
    <col min="2" max="2" width="99.54296875" style="1" customWidth="1"/>
    <col min="3" max="3" width="5.453125" customWidth="1"/>
    <col min="4" max="4" width="15.54296875" customWidth="1"/>
    <col min="20" max="20" width="16.54296875" customWidth="1"/>
  </cols>
  <sheetData>
    <row r="1" spans="1:41" ht="15.75" customHeight="1" x14ac:dyDescent="0.25">
      <c r="C1" s="13"/>
    </row>
    <row r="2" spans="1:41" ht="15.75" customHeight="1" x14ac:dyDescent="0.4">
      <c r="B2" s="2" t="s">
        <v>0</v>
      </c>
      <c r="C2" s="13"/>
    </row>
    <row r="3" spans="1:41" ht="15.75" customHeight="1" x14ac:dyDescent="0.35">
      <c r="B3" s="3" t="s">
        <v>38</v>
      </c>
      <c r="C3" s="13"/>
    </row>
    <row r="4" spans="1:41" ht="15.75" customHeight="1" x14ac:dyDescent="0.25">
      <c r="C4" s="13"/>
      <c r="U4" s="15"/>
    </row>
    <row r="5" spans="1:41" ht="15.75" customHeight="1" x14ac:dyDescent="0.3">
      <c r="B5" s="4"/>
      <c r="C5" s="16" t="s">
        <v>39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7" t="s">
        <v>40</v>
      </c>
      <c r="V5" s="5"/>
      <c r="W5" s="5"/>
      <c r="X5" s="5"/>
      <c r="Y5" s="5"/>
      <c r="Z5" s="5"/>
    </row>
    <row r="6" spans="1:41" ht="15.75" customHeight="1" x14ac:dyDescent="0.25">
      <c r="C6" s="13"/>
    </row>
    <row r="7" spans="1:41" ht="15.75" customHeight="1" x14ac:dyDescent="0.4">
      <c r="B7" s="115" t="s">
        <v>41</v>
      </c>
      <c r="C7" s="116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41" ht="15.75" customHeight="1" outlineLevel="1" x14ac:dyDescent="0.25">
      <c r="C8" s="13"/>
    </row>
    <row r="9" spans="1:41" ht="15.75" customHeight="1" outlineLevel="1" x14ac:dyDescent="0.25">
      <c r="B9" s="9" t="s">
        <v>42</v>
      </c>
      <c r="C9" s="13"/>
      <c r="D9" s="19">
        <v>45292</v>
      </c>
      <c r="E9" s="20"/>
      <c r="F9" s="18" t="s">
        <v>43</v>
      </c>
      <c r="H9" s="20"/>
      <c r="I9" s="20"/>
      <c r="J9" s="20"/>
      <c r="K9" s="20"/>
      <c r="L9" s="20"/>
      <c r="M9" s="20"/>
      <c r="N9" s="20"/>
      <c r="O9" s="20"/>
    </row>
    <row r="10" spans="1:41" ht="15.75" customHeight="1" outlineLevel="1" x14ac:dyDescent="0.25">
      <c r="C10" s="13"/>
    </row>
    <row r="11" spans="1:41" ht="15.75" customHeight="1" outlineLevel="1" x14ac:dyDescent="0.25">
      <c r="B11" s="9" t="s">
        <v>44</v>
      </c>
      <c r="C11" s="13" t="s">
        <v>45</v>
      </c>
      <c r="D11" s="21">
        <v>0</v>
      </c>
      <c r="E11" s="22"/>
      <c r="H11" s="22"/>
      <c r="I11" s="22"/>
      <c r="J11" s="22"/>
      <c r="K11" s="22"/>
      <c r="L11" s="22"/>
      <c r="M11" s="22"/>
      <c r="N11" s="22"/>
      <c r="O11" s="22"/>
    </row>
    <row r="12" spans="1:41" ht="15.75" customHeight="1" outlineLevel="1" x14ac:dyDescent="0.25">
      <c r="B12" s="9" t="s">
        <v>46</v>
      </c>
      <c r="C12" s="13" t="s">
        <v>45</v>
      </c>
      <c r="D12" s="21">
        <v>0.35</v>
      </c>
      <c r="E12" s="22"/>
      <c r="F12" s="18"/>
      <c r="H12" s="22"/>
      <c r="I12" s="22"/>
      <c r="J12" s="22"/>
      <c r="K12" s="22"/>
      <c r="L12" s="22"/>
      <c r="M12" s="22"/>
      <c r="N12" s="22"/>
      <c r="O12" s="22"/>
    </row>
    <row r="13" spans="1:41" ht="15.75" customHeight="1" outlineLevel="1" x14ac:dyDescent="0.25">
      <c r="B13" s="9" t="s">
        <v>47</v>
      </c>
      <c r="C13" s="13" t="s">
        <v>45</v>
      </c>
      <c r="D13" s="21">
        <v>0.1</v>
      </c>
      <c r="E13" s="23"/>
      <c r="F13" s="18" t="s">
        <v>48</v>
      </c>
      <c r="H13" s="23"/>
      <c r="I13" s="23"/>
      <c r="J13" s="23"/>
      <c r="K13" s="23"/>
      <c r="L13" s="23"/>
      <c r="M13" s="23"/>
      <c r="N13" s="23"/>
      <c r="O13" s="23"/>
    </row>
    <row r="14" spans="1:41" ht="15.75" customHeight="1" x14ac:dyDescent="0.3">
      <c r="A14" s="18"/>
      <c r="B14" s="96"/>
      <c r="C14" s="1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ht="15.75" customHeight="1" x14ac:dyDescent="0.4">
      <c r="A15" s="18"/>
      <c r="B15" s="115" t="s">
        <v>49</v>
      </c>
      <c r="C15" s="116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ht="15.75" customHeight="1" outlineLevel="1" x14ac:dyDescent="0.25">
      <c r="C16" s="13"/>
    </row>
    <row r="17" spans="2:21" ht="15.75" customHeight="1" outlineLevel="1" x14ac:dyDescent="0.4">
      <c r="B17" s="97" t="s">
        <v>50</v>
      </c>
      <c r="C17" s="13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2:21" ht="15.75" customHeight="1" outlineLevel="1" x14ac:dyDescent="0.3">
      <c r="B18" s="98" t="s">
        <v>51</v>
      </c>
      <c r="C18" s="13"/>
      <c r="D18" s="25" t="s">
        <v>52</v>
      </c>
      <c r="E18" s="25" t="s">
        <v>53</v>
      </c>
      <c r="F18" s="25" t="s">
        <v>54</v>
      </c>
      <c r="G18" s="25" t="s">
        <v>55</v>
      </c>
      <c r="H18" s="25" t="s">
        <v>56</v>
      </c>
      <c r="I18" s="25" t="s">
        <v>57</v>
      </c>
      <c r="J18" s="25" t="s">
        <v>58</v>
      </c>
      <c r="K18" s="25" t="s">
        <v>59</v>
      </c>
      <c r="L18" s="25" t="s">
        <v>60</v>
      </c>
      <c r="M18" s="25" t="s">
        <v>61</v>
      </c>
      <c r="N18" s="25" t="s">
        <v>62</v>
      </c>
      <c r="O18" s="25" t="s">
        <v>63</v>
      </c>
      <c r="P18" s="25" t="s">
        <v>64</v>
      </c>
      <c r="Q18" s="25" t="s">
        <v>65</v>
      </c>
      <c r="R18" s="25" t="s">
        <v>66</v>
      </c>
      <c r="S18" s="25" t="s">
        <v>67</v>
      </c>
      <c r="T18" s="25" t="s">
        <v>68</v>
      </c>
    </row>
    <row r="19" spans="2:21" ht="15.75" customHeight="1" outlineLevel="1" x14ac:dyDescent="0.25">
      <c r="B19" s="99" t="s">
        <v>69</v>
      </c>
      <c r="C19" s="13" t="s">
        <v>45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5.0000000000000001E-3</v>
      </c>
      <c r="Q19" s="87">
        <v>5.0000000000000001E-3</v>
      </c>
      <c r="R19" s="87">
        <v>5.0000000000000001E-3</v>
      </c>
      <c r="S19" s="87">
        <v>5.0000000000000001E-3</v>
      </c>
      <c r="T19" s="87">
        <v>5.0000000000000001E-3</v>
      </c>
      <c r="U19" s="85" t="s">
        <v>70</v>
      </c>
    </row>
    <row r="20" spans="2:21" ht="15.75" customHeight="1" outlineLevel="2" x14ac:dyDescent="0.25">
      <c r="B20" s="99" t="s">
        <v>71</v>
      </c>
      <c r="C20" s="117" t="s">
        <v>72</v>
      </c>
      <c r="D20" s="27">
        <v>200</v>
      </c>
      <c r="E20" s="28">
        <f t="shared" ref="E20:O20" si="0">D20*(1+E19)</f>
        <v>200</v>
      </c>
      <c r="F20" s="28">
        <f t="shared" si="0"/>
        <v>200</v>
      </c>
      <c r="G20" s="28">
        <f t="shared" si="0"/>
        <v>200</v>
      </c>
      <c r="H20" s="28">
        <f t="shared" si="0"/>
        <v>200</v>
      </c>
      <c r="I20" s="28">
        <f t="shared" si="0"/>
        <v>200</v>
      </c>
      <c r="J20" s="28">
        <f t="shared" si="0"/>
        <v>200</v>
      </c>
      <c r="K20" s="28">
        <f t="shared" si="0"/>
        <v>200</v>
      </c>
      <c r="L20" s="28">
        <f t="shared" si="0"/>
        <v>200</v>
      </c>
      <c r="M20" s="28">
        <f t="shared" si="0"/>
        <v>200</v>
      </c>
      <c r="N20" s="28">
        <f t="shared" si="0"/>
        <v>200</v>
      </c>
      <c r="O20" s="28">
        <f t="shared" si="0"/>
        <v>200</v>
      </c>
      <c r="P20" s="28">
        <f t="shared" ref="P20:R20" si="1">O20*(1+P19)^3</f>
        <v>203.01502499999992</v>
      </c>
      <c r="Q20" s="28">
        <f t="shared" si="1"/>
        <v>206.07550187875296</v>
      </c>
      <c r="R20" s="28">
        <f t="shared" si="1"/>
        <v>209.18211582901282</v>
      </c>
      <c r="S20" s="28">
        <f>R20*(1+S19)^3</f>
        <v>212.33556237289957</v>
      </c>
      <c r="T20" s="28">
        <f>S20*(1+T19)^12</f>
        <v>225.43195524107756</v>
      </c>
      <c r="U20" t="s">
        <v>73</v>
      </c>
    </row>
    <row r="21" spans="2:21" ht="16.5" customHeight="1" outlineLevel="2" x14ac:dyDescent="0.25">
      <c r="B21" s="9" t="s">
        <v>74</v>
      </c>
      <c r="C21" s="29" t="s">
        <v>45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5.0000000000000001E-3</v>
      </c>
      <c r="T21" s="87">
        <v>5.0000000000000001E-3</v>
      </c>
      <c r="U21" s="89" t="s">
        <v>75</v>
      </c>
    </row>
    <row r="22" spans="2:21" ht="17.25" customHeight="1" outlineLevel="2" x14ac:dyDescent="0.25">
      <c r="B22" s="9" t="s">
        <v>76</v>
      </c>
      <c r="C22" s="88" t="s">
        <v>77</v>
      </c>
      <c r="D22" s="30">
        <v>1500</v>
      </c>
      <c r="E22" s="30">
        <v>1500</v>
      </c>
      <c r="F22" s="30">
        <v>1500</v>
      </c>
      <c r="G22" s="30">
        <v>1500</v>
      </c>
      <c r="H22" s="30">
        <v>1500</v>
      </c>
      <c r="I22" s="30">
        <v>1500</v>
      </c>
      <c r="J22" s="30">
        <v>1500</v>
      </c>
      <c r="K22" s="30">
        <v>1500</v>
      </c>
      <c r="L22" s="30">
        <v>1500</v>
      </c>
      <c r="M22" s="30">
        <v>1500</v>
      </c>
      <c r="N22" s="30">
        <v>1500</v>
      </c>
      <c r="O22" s="30">
        <v>1500</v>
      </c>
      <c r="P22" s="30">
        <v>1500</v>
      </c>
      <c r="Q22" s="30">
        <v>1500</v>
      </c>
      <c r="R22" s="30">
        <v>1500</v>
      </c>
      <c r="S22" s="30">
        <v>1500</v>
      </c>
      <c r="T22" s="30">
        <v>1500</v>
      </c>
      <c r="U22" s="89" t="s">
        <v>75</v>
      </c>
    </row>
    <row r="23" spans="2:21" ht="15.75" customHeight="1" outlineLevel="2" x14ac:dyDescent="0.25">
      <c r="B23" s="9" t="s">
        <v>78</v>
      </c>
      <c r="C23" s="13" t="s">
        <v>79</v>
      </c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>
        <v>3</v>
      </c>
      <c r="J23" s="30">
        <v>3</v>
      </c>
      <c r="K23" s="30">
        <v>3</v>
      </c>
      <c r="L23" s="30">
        <v>3</v>
      </c>
      <c r="M23" s="30">
        <v>3</v>
      </c>
      <c r="N23" s="30">
        <v>3</v>
      </c>
      <c r="O23" s="30">
        <v>3</v>
      </c>
      <c r="P23" s="30">
        <f>$O$23*3</f>
        <v>9</v>
      </c>
      <c r="Q23" s="30">
        <f t="shared" ref="Q23:S23" si="2">$O$23*3</f>
        <v>9</v>
      </c>
      <c r="R23" s="30">
        <f t="shared" si="2"/>
        <v>9</v>
      </c>
      <c r="S23" s="30">
        <f t="shared" si="2"/>
        <v>9</v>
      </c>
      <c r="T23" s="30">
        <f>$O$23*12</f>
        <v>36</v>
      </c>
      <c r="U23" s="85" t="s">
        <v>80</v>
      </c>
    </row>
    <row r="24" spans="2:21" ht="15.75" customHeight="1" outlineLevel="2" x14ac:dyDescent="0.25">
      <c r="B24" s="9" t="s">
        <v>81</v>
      </c>
      <c r="C24" s="117" t="s">
        <v>82</v>
      </c>
      <c r="D24" s="31">
        <f t="shared" ref="D24:T24" si="3">+PRODUCT(D20:D23)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1">
        <f t="shared" si="3"/>
        <v>0</v>
      </c>
      <c r="L24" s="31">
        <f t="shared" si="3"/>
        <v>0</v>
      </c>
      <c r="M24" s="31">
        <f t="shared" si="3"/>
        <v>0</v>
      </c>
      <c r="N24" s="31">
        <f t="shared" si="3"/>
        <v>0</v>
      </c>
      <c r="O24" s="31">
        <f t="shared" si="3"/>
        <v>0</v>
      </c>
      <c r="P24" s="31">
        <f t="shared" si="3"/>
        <v>0</v>
      </c>
      <c r="Q24" s="31">
        <f t="shared" si="3"/>
        <v>0</v>
      </c>
      <c r="R24" s="31">
        <f t="shared" si="3"/>
        <v>0</v>
      </c>
      <c r="S24" s="31">
        <f t="shared" si="3"/>
        <v>14332.65046017072</v>
      </c>
      <c r="T24" s="31">
        <f t="shared" si="3"/>
        <v>60866.627915090939</v>
      </c>
    </row>
    <row r="25" spans="2:21" ht="15.75" customHeight="1" outlineLevel="1" x14ac:dyDescent="0.25">
      <c r="B25" s="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1" ht="15.75" customHeight="1" outlineLevel="1" x14ac:dyDescent="0.3">
      <c r="B26" s="98" t="s">
        <v>83</v>
      </c>
      <c r="C26" s="13"/>
      <c r="D26" s="25" t="s">
        <v>52</v>
      </c>
      <c r="E26" s="25" t="s">
        <v>53</v>
      </c>
      <c r="F26" s="25" t="s">
        <v>54</v>
      </c>
      <c r="G26" s="25" t="s">
        <v>55</v>
      </c>
      <c r="H26" s="25" t="s">
        <v>56</v>
      </c>
      <c r="I26" s="25" t="s">
        <v>57</v>
      </c>
      <c r="J26" s="25" t="s">
        <v>58</v>
      </c>
      <c r="K26" s="25" t="s">
        <v>59</v>
      </c>
      <c r="L26" s="25" t="s">
        <v>60</v>
      </c>
      <c r="M26" s="25" t="s">
        <v>61</v>
      </c>
      <c r="N26" s="25" t="s">
        <v>62</v>
      </c>
      <c r="O26" s="25" t="s">
        <v>63</v>
      </c>
      <c r="P26" s="25" t="s">
        <v>64</v>
      </c>
      <c r="Q26" s="25" t="s">
        <v>65</v>
      </c>
      <c r="R26" s="25" t="s">
        <v>66</v>
      </c>
      <c r="S26" s="25" t="s">
        <v>67</v>
      </c>
      <c r="T26" s="25" t="s">
        <v>68</v>
      </c>
    </row>
    <row r="27" spans="2:21" ht="15.75" customHeight="1" outlineLevel="1" x14ac:dyDescent="0.25">
      <c r="B27" s="9" t="s">
        <v>69</v>
      </c>
      <c r="C27" s="13" t="s">
        <v>45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0.5</v>
      </c>
      <c r="L27" s="87">
        <v>0.5</v>
      </c>
      <c r="M27" s="87">
        <v>0.5</v>
      </c>
      <c r="N27" s="87">
        <v>0.5</v>
      </c>
      <c r="O27" s="87">
        <v>0.50329999999999997</v>
      </c>
      <c r="P27" s="87">
        <v>0.5</v>
      </c>
      <c r="Q27" s="87">
        <v>0.5</v>
      </c>
      <c r="R27" s="87">
        <v>0.35</v>
      </c>
      <c r="S27" s="87">
        <v>0.2</v>
      </c>
      <c r="T27" s="87">
        <v>0.1</v>
      </c>
      <c r="U27" s="85" t="s">
        <v>84</v>
      </c>
    </row>
    <row r="28" spans="2:21" ht="15.75" customHeight="1" outlineLevel="2" x14ac:dyDescent="0.25">
      <c r="B28" s="99" t="s">
        <v>85</v>
      </c>
      <c r="C28" s="13" t="s">
        <v>86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1</v>
      </c>
      <c r="K28" s="33">
        <f t="shared" ref="K28:M28" si="4">J28*(1+K27)</f>
        <v>1.5</v>
      </c>
      <c r="L28" s="33">
        <f t="shared" si="4"/>
        <v>2.25</v>
      </c>
      <c r="M28" s="33">
        <f t="shared" si="4"/>
        <v>3.375</v>
      </c>
      <c r="N28" s="33">
        <f>M28*(1+N27)</f>
        <v>5.0625</v>
      </c>
      <c r="O28" s="34">
        <f>N28*(1+O27)</f>
        <v>7.6104562499999995</v>
      </c>
      <c r="P28" s="35">
        <f>O28*(1+P27)^3</f>
        <v>25.685289843749999</v>
      </c>
      <c r="Q28" s="35">
        <f t="shared" ref="Q28:S28" si="5">P28*(1+Q27)^3</f>
        <v>86.687853222656244</v>
      </c>
      <c r="R28" s="35">
        <f t="shared" si="5"/>
        <v>213.28462687269288</v>
      </c>
      <c r="S28" s="35">
        <f t="shared" si="5"/>
        <v>368.55583523601331</v>
      </c>
      <c r="T28" s="35">
        <f>S28*(1+T27)^12</f>
        <v>1156.6860917108145</v>
      </c>
      <c r="U28" s="85" t="s">
        <v>87</v>
      </c>
    </row>
    <row r="29" spans="2:21" ht="15.75" customHeight="1" outlineLevel="2" x14ac:dyDescent="0.25">
      <c r="B29" s="9" t="s">
        <v>88</v>
      </c>
      <c r="C29" s="13" t="s">
        <v>89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25000</v>
      </c>
      <c r="K29" s="30">
        <v>25000</v>
      </c>
      <c r="L29" s="30">
        <v>25000</v>
      </c>
      <c r="M29" s="30">
        <v>25000</v>
      </c>
      <c r="N29" s="30">
        <v>25000</v>
      </c>
      <c r="O29" s="30">
        <v>25000</v>
      </c>
      <c r="P29" s="30">
        <v>25000</v>
      </c>
      <c r="Q29" s="30">
        <v>25000</v>
      </c>
      <c r="R29" s="30">
        <v>25000</v>
      </c>
      <c r="S29" s="30">
        <v>25000</v>
      </c>
      <c r="T29" s="30">
        <v>25000</v>
      </c>
      <c r="U29" s="85" t="s">
        <v>90</v>
      </c>
    </row>
    <row r="30" spans="2:21" ht="12.5" outlineLevel="2" x14ac:dyDescent="0.25">
      <c r="B30" s="99" t="s">
        <v>91</v>
      </c>
      <c r="C30" s="29" t="s">
        <v>45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0.05</v>
      </c>
      <c r="K30" s="87">
        <v>0.05</v>
      </c>
      <c r="L30" s="87">
        <v>0.05</v>
      </c>
      <c r="M30" s="87">
        <v>0.05</v>
      </c>
      <c r="N30" s="87">
        <v>0.05</v>
      </c>
      <c r="O30" s="87">
        <v>0.05</v>
      </c>
      <c r="P30" s="87">
        <v>0.05</v>
      </c>
      <c r="Q30" s="87">
        <v>0.1</v>
      </c>
      <c r="R30" s="87">
        <v>0.1</v>
      </c>
      <c r="S30" s="87">
        <v>0.1</v>
      </c>
      <c r="T30" s="87">
        <v>0.1</v>
      </c>
      <c r="U30" s="89" t="s">
        <v>92</v>
      </c>
    </row>
    <row r="31" spans="2:21" ht="15.75" customHeight="1" outlineLevel="2" x14ac:dyDescent="0.25">
      <c r="B31" s="102" t="s">
        <v>93</v>
      </c>
      <c r="C31" s="13" t="s">
        <v>94</v>
      </c>
      <c r="D31" s="36">
        <f>D28*D29*D30</f>
        <v>0</v>
      </c>
      <c r="E31" s="36">
        <f t="shared" ref="E31:T31" si="6">E28*E29*E30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1250</v>
      </c>
      <c r="K31" s="36">
        <f t="shared" si="6"/>
        <v>1875</v>
      </c>
      <c r="L31" s="36">
        <f t="shared" si="6"/>
        <v>2812.5</v>
      </c>
      <c r="M31" s="36">
        <f t="shared" si="6"/>
        <v>4218.75</v>
      </c>
      <c r="N31" s="36">
        <f t="shared" si="6"/>
        <v>6328.125</v>
      </c>
      <c r="O31" s="36">
        <f>O28*O29*O30</f>
        <v>9513.0703125</v>
      </c>
      <c r="P31" s="36">
        <f t="shared" si="6"/>
        <v>32106.6123046875</v>
      </c>
      <c r="Q31" s="36">
        <f t="shared" si="6"/>
        <v>216719.63305664063</v>
      </c>
      <c r="R31" s="36">
        <f t="shared" si="6"/>
        <v>533211.56718173227</v>
      </c>
      <c r="S31" s="36">
        <f t="shared" si="6"/>
        <v>921389.58809003327</v>
      </c>
      <c r="T31" s="31">
        <f t="shared" si="6"/>
        <v>2891715.2292770366</v>
      </c>
    </row>
    <row r="32" spans="2:21" ht="12.5" outlineLevel="2" x14ac:dyDescent="0.25">
      <c r="B32" s="99" t="s">
        <v>95</v>
      </c>
      <c r="C32" s="13" t="s">
        <v>96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0.05</v>
      </c>
      <c r="L32" s="87">
        <v>0.05</v>
      </c>
      <c r="M32" s="87">
        <v>7.4999999999999997E-2</v>
      </c>
      <c r="N32" s="87">
        <v>7.4999999999999997E-2</v>
      </c>
      <c r="O32" s="87">
        <v>7.5498999999999997E-2</v>
      </c>
      <c r="P32" s="87">
        <v>7.4999999999999997E-2</v>
      </c>
      <c r="Q32" s="87">
        <v>7.4999999999999997E-2</v>
      </c>
      <c r="R32" s="87">
        <v>7.4999999999999997E-2</v>
      </c>
      <c r="S32" s="87">
        <v>0.1</v>
      </c>
      <c r="T32" s="87">
        <v>0.1</v>
      </c>
      <c r="U32" s="26" t="s">
        <v>97</v>
      </c>
    </row>
    <row r="33" spans="1:41" ht="15.75" customHeight="1" outlineLevel="2" x14ac:dyDescent="0.25">
      <c r="B33" s="9" t="s">
        <v>98</v>
      </c>
      <c r="C33" s="13" t="s">
        <v>99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3</v>
      </c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f>$O$33*3</f>
        <v>9</v>
      </c>
      <c r="Q33" s="30">
        <f t="shared" ref="Q33:S33" si="7">$O$33*3</f>
        <v>9</v>
      </c>
      <c r="R33" s="30">
        <f t="shared" si="7"/>
        <v>9</v>
      </c>
      <c r="S33" s="30">
        <f t="shared" si="7"/>
        <v>9</v>
      </c>
      <c r="T33" s="30">
        <f>$O$33*12</f>
        <v>36</v>
      </c>
      <c r="U33" s="85" t="s">
        <v>80</v>
      </c>
    </row>
    <row r="34" spans="1:41" ht="15.75" customHeight="1" outlineLevel="2" x14ac:dyDescent="0.25">
      <c r="B34" s="9" t="s">
        <v>81</v>
      </c>
      <c r="C34" s="88" t="s">
        <v>82</v>
      </c>
      <c r="D34" s="31">
        <f>+PRODUCT(D31:D33)</f>
        <v>0</v>
      </c>
      <c r="E34" s="31">
        <f t="shared" ref="E34:T34" si="8">+PRODUCT(E31:E33)</f>
        <v>0</v>
      </c>
      <c r="F34" s="31">
        <f t="shared" si="8"/>
        <v>0</v>
      </c>
      <c r="G34" s="31">
        <f t="shared" si="8"/>
        <v>0</v>
      </c>
      <c r="H34" s="31">
        <f t="shared" si="8"/>
        <v>0</v>
      </c>
      <c r="I34" s="31">
        <f t="shared" si="8"/>
        <v>0</v>
      </c>
      <c r="J34" s="31">
        <f t="shared" si="8"/>
        <v>0</v>
      </c>
      <c r="K34" s="31">
        <f t="shared" si="8"/>
        <v>281.25</v>
      </c>
      <c r="L34" s="31">
        <f t="shared" si="8"/>
        <v>421.875</v>
      </c>
      <c r="M34" s="31">
        <f t="shared" si="8"/>
        <v>949.21875</v>
      </c>
      <c r="N34" s="31">
        <f t="shared" si="8"/>
        <v>1423.828125</v>
      </c>
      <c r="O34" s="31">
        <f t="shared" si="8"/>
        <v>2154.6818865703121</v>
      </c>
      <c r="P34" s="31">
        <f t="shared" si="8"/>
        <v>21671.96330566406</v>
      </c>
      <c r="Q34" s="31">
        <f t="shared" si="8"/>
        <v>146285.75231323243</v>
      </c>
      <c r="R34" s="31">
        <f t="shared" si="8"/>
        <v>359917.80784766929</v>
      </c>
      <c r="S34" s="31">
        <f t="shared" si="8"/>
        <v>829250.62928103004</v>
      </c>
      <c r="T34" s="31">
        <f t="shared" si="8"/>
        <v>10410174.825397333</v>
      </c>
    </row>
    <row r="35" spans="1:41" ht="15.75" customHeight="1" outlineLevel="1" x14ac:dyDescent="0.25">
      <c r="B35" s="9"/>
    </row>
    <row r="36" spans="1:41" ht="20" outlineLevel="1" x14ac:dyDescent="0.4">
      <c r="B36" s="100" t="s">
        <v>100</v>
      </c>
      <c r="D36" s="25" t="s">
        <v>52</v>
      </c>
      <c r="E36" s="25" t="s">
        <v>53</v>
      </c>
      <c r="F36" s="25" t="s">
        <v>54</v>
      </c>
      <c r="G36" s="25" t="s">
        <v>55</v>
      </c>
      <c r="H36" s="25" t="s">
        <v>56</v>
      </c>
      <c r="I36" s="25" t="s">
        <v>57</v>
      </c>
      <c r="J36" s="25" t="s">
        <v>58</v>
      </c>
      <c r="K36" s="25" t="s">
        <v>59</v>
      </c>
      <c r="L36" s="25" t="s">
        <v>60</v>
      </c>
      <c r="M36" s="25" t="s">
        <v>61</v>
      </c>
      <c r="N36" s="25" t="s">
        <v>62</v>
      </c>
      <c r="O36" s="25" t="s">
        <v>63</v>
      </c>
      <c r="P36" s="25" t="s">
        <v>64</v>
      </c>
      <c r="Q36" s="25" t="s">
        <v>65</v>
      </c>
      <c r="R36" s="25" t="s">
        <v>66</v>
      </c>
      <c r="S36" s="25" t="s">
        <v>67</v>
      </c>
      <c r="T36" s="37" t="s">
        <v>68</v>
      </c>
    </row>
    <row r="37" spans="1:41" ht="15.75" customHeight="1" outlineLevel="1" x14ac:dyDescent="0.25">
      <c r="B37" s="9" t="s">
        <v>101</v>
      </c>
      <c r="C37" s="13" t="s">
        <v>102</v>
      </c>
      <c r="D37" s="35">
        <f>(D22*D20)+D31</f>
        <v>300000</v>
      </c>
      <c r="E37" s="35">
        <f t="shared" ref="E37:S37" si="9">(E22*E20)+E31</f>
        <v>300000</v>
      </c>
      <c r="F37" s="35">
        <f t="shared" si="9"/>
        <v>300000</v>
      </c>
      <c r="G37" s="35">
        <f t="shared" si="9"/>
        <v>300000</v>
      </c>
      <c r="H37" s="35">
        <f t="shared" si="9"/>
        <v>300000</v>
      </c>
      <c r="I37" s="35">
        <f t="shared" si="9"/>
        <v>300000</v>
      </c>
      <c r="J37" s="35">
        <f t="shared" si="9"/>
        <v>301250</v>
      </c>
      <c r="K37" s="35">
        <f t="shared" si="9"/>
        <v>301875</v>
      </c>
      <c r="L37" s="35">
        <f t="shared" si="9"/>
        <v>302812.5</v>
      </c>
      <c r="M37" s="35">
        <f t="shared" si="9"/>
        <v>304218.75</v>
      </c>
      <c r="N37" s="35">
        <f t="shared" si="9"/>
        <v>306328.125</v>
      </c>
      <c r="O37" s="35">
        <f t="shared" si="9"/>
        <v>309513.0703125</v>
      </c>
      <c r="P37" s="35">
        <f t="shared" si="9"/>
        <v>336629.14980468736</v>
      </c>
      <c r="Q37" s="35">
        <f t="shared" si="9"/>
        <v>525832.88587477012</v>
      </c>
      <c r="R37" s="35">
        <f t="shared" si="9"/>
        <v>846984.74092525151</v>
      </c>
      <c r="S37" s="35">
        <f t="shared" si="9"/>
        <v>1239892.9316493827</v>
      </c>
      <c r="T37" s="35">
        <f>(T22*T20)+T31</f>
        <v>3229863.162138653</v>
      </c>
      <c r="U37" s="94">
        <f>T37/447000000</f>
        <v>7.2256446580283061E-3</v>
      </c>
      <c r="V37" s="89" t="s">
        <v>103</v>
      </c>
    </row>
    <row r="38" spans="1:41" ht="15.75" customHeight="1" outlineLevel="1" x14ac:dyDescent="0.25">
      <c r="B38" s="9" t="s">
        <v>104</v>
      </c>
      <c r="C38" s="13" t="s">
        <v>105</v>
      </c>
      <c r="D38" s="30">
        <v>1</v>
      </c>
      <c r="E38" s="30">
        <v>1</v>
      </c>
      <c r="F38" s="30">
        <v>1</v>
      </c>
      <c r="G38" s="30">
        <v>1</v>
      </c>
      <c r="H38" s="30">
        <v>1</v>
      </c>
      <c r="I38" s="30">
        <v>1</v>
      </c>
      <c r="J38" s="30">
        <v>1</v>
      </c>
      <c r="K38" s="30">
        <v>1</v>
      </c>
      <c r="L38" s="30">
        <v>1</v>
      </c>
      <c r="M38" s="30">
        <v>1</v>
      </c>
      <c r="N38" s="30">
        <v>1</v>
      </c>
      <c r="O38" s="30">
        <v>1</v>
      </c>
      <c r="P38" s="30">
        <v>2</v>
      </c>
      <c r="Q38" s="30">
        <v>2</v>
      </c>
      <c r="R38" s="30">
        <v>2</v>
      </c>
      <c r="S38" s="30">
        <v>2</v>
      </c>
      <c r="T38" s="30">
        <v>3</v>
      </c>
    </row>
    <row r="39" spans="1:41" ht="15.75" customHeight="1" outlineLevel="2" x14ac:dyDescent="0.25">
      <c r="B39" s="9" t="s">
        <v>106</v>
      </c>
      <c r="C39" s="13" t="s">
        <v>102</v>
      </c>
      <c r="D39" s="35">
        <f t="shared" ref="D39:T39" si="10">D37*D38</f>
        <v>300000</v>
      </c>
      <c r="E39" s="35">
        <f t="shared" si="10"/>
        <v>300000</v>
      </c>
      <c r="F39" s="35">
        <f t="shared" si="10"/>
        <v>300000</v>
      </c>
      <c r="G39" s="35">
        <f t="shared" si="10"/>
        <v>300000</v>
      </c>
      <c r="H39" s="35">
        <f t="shared" si="10"/>
        <v>300000</v>
      </c>
      <c r="I39" s="35">
        <f t="shared" si="10"/>
        <v>300000</v>
      </c>
      <c r="J39" s="35">
        <f t="shared" si="10"/>
        <v>301250</v>
      </c>
      <c r="K39" s="35">
        <f t="shared" si="10"/>
        <v>301875</v>
      </c>
      <c r="L39" s="35">
        <f t="shared" si="10"/>
        <v>302812.5</v>
      </c>
      <c r="M39" s="35">
        <f t="shared" si="10"/>
        <v>304218.75</v>
      </c>
      <c r="N39" s="35">
        <f t="shared" si="10"/>
        <v>306328.125</v>
      </c>
      <c r="O39" s="35">
        <f t="shared" si="10"/>
        <v>309513.0703125</v>
      </c>
      <c r="P39" s="35">
        <f t="shared" si="10"/>
        <v>673258.29960937472</v>
      </c>
      <c r="Q39" s="35">
        <f t="shared" si="10"/>
        <v>1051665.7717495402</v>
      </c>
      <c r="R39" s="35">
        <f t="shared" si="10"/>
        <v>1693969.481850503</v>
      </c>
      <c r="S39" s="35">
        <f t="shared" si="10"/>
        <v>2479785.8632987654</v>
      </c>
      <c r="T39" s="35">
        <f t="shared" si="10"/>
        <v>9689589.4864159599</v>
      </c>
    </row>
    <row r="40" spans="1:41" ht="15.75" customHeight="1" outlineLevel="2" x14ac:dyDescent="0.25">
      <c r="B40" s="99" t="s">
        <v>107</v>
      </c>
      <c r="C40" s="13" t="s">
        <v>45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0</v>
      </c>
      <c r="N40" s="87">
        <v>0</v>
      </c>
      <c r="O40" s="87">
        <v>0.05</v>
      </c>
      <c r="P40" s="87">
        <v>7.4999999999999997E-2</v>
      </c>
      <c r="Q40" s="87">
        <v>0.1</v>
      </c>
      <c r="R40" s="87">
        <v>0.125</v>
      </c>
      <c r="S40" s="87">
        <v>0.15</v>
      </c>
      <c r="T40" s="87">
        <v>0.18</v>
      </c>
      <c r="U40" t="s">
        <v>108</v>
      </c>
    </row>
    <row r="41" spans="1:41" ht="15.75" customHeight="1" outlineLevel="2" x14ac:dyDescent="0.25">
      <c r="B41" s="9" t="s">
        <v>109</v>
      </c>
      <c r="C41" s="13" t="s">
        <v>110</v>
      </c>
      <c r="D41" s="35">
        <f t="shared" ref="D41:T41" si="11">D39*D40</f>
        <v>0</v>
      </c>
      <c r="E41" s="35">
        <f t="shared" si="11"/>
        <v>0</v>
      </c>
      <c r="F41" s="35">
        <f t="shared" si="11"/>
        <v>0</v>
      </c>
      <c r="G41" s="35">
        <f t="shared" si="11"/>
        <v>0</v>
      </c>
      <c r="H41" s="35">
        <f t="shared" si="11"/>
        <v>0</v>
      </c>
      <c r="I41" s="35">
        <f t="shared" si="11"/>
        <v>0</v>
      </c>
      <c r="J41" s="35">
        <f t="shared" si="11"/>
        <v>0</v>
      </c>
      <c r="K41" s="35">
        <f t="shared" si="11"/>
        <v>0</v>
      </c>
      <c r="L41" s="35">
        <f t="shared" si="11"/>
        <v>0</v>
      </c>
      <c r="M41" s="35">
        <f t="shared" si="11"/>
        <v>0</v>
      </c>
      <c r="N41" s="35">
        <f t="shared" si="11"/>
        <v>0</v>
      </c>
      <c r="O41" s="35">
        <f t="shared" si="11"/>
        <v>15475.653515625001</v>
      </c>
      <c r="P41" s="35">
        <f t="shared" si="11"/>
        <v>50494.3724707031</v>
      </c>
      <c r="Q41" s="35">
        <f t="shared" si="11"/>
        <v>105166.57717495403</v>
      </c>
      <c r="R41" s="35">
        <f t="shared" si="11"/>
        <v>211746.18523131288</v>
      </c>
      <c r="S41" s="35">
        <f t="shared" si="11"/>
        <v>371967.87949481478</v>
      </c>
      <c r="T41" s="35">
        <f t="shared" si="11"/>
        <v>1744126.1075548728</v>
      </c>
    </row>
    <row r="42" spans="1:41" ht="12.5" outlineLevel="2" x14ac:dyDescent="0.25">
      <c r="B42" s="9" t="s">
        <v>111</v>
      </c>
      <c r="C42" s="13" t="s">
        <v>82</v>
      </c>
      <c r="D42" s="30">
        <v>25</v>
      </c>
      <c r="E42" s="30">
        <v>25</v>
      </c>
      <c r="F42" s="30">
        <v>25</v>
      </c>
      <c r="G42" s="30">
        <v>25</v>
      </c>
      <c r="H42" s="30">
        <v>25</v>
      </c>
      <c r="I42" s="30">
        <v>25</v>
      </c>
      <c r="J42" s="30">
        <v>25</v>
      </c>
      <c r="K42" s="30">
        <v>25</v>
      </c>
      <c r="L42" s="30">
        <v>25</v>
      </c>
      <c r="M42" s="30">
        <v>25</v>
      </c>
      <c r="N42" s="30">
        <v>25</v>
      </c>
      <c r="O42" s="30">
        <v>25</v>
      </c>
      <c r="P42" s="30">
        <f>$O$42*3</f>
        <v>75</v>
      </c>
      <c r="Q42" s="30">
        <f t="shared" ref="Q42:S42" si="12">$O$42*3</f>
        <v>75</v>
      </c>
      <c r="R42" s="30">
        <f t="shared" si="12"/>
        <v>75</v>
      </c>
      <c r="S42" s="30">
        <f t="shared" si="12"/>
        <v>75</v>
      </c>
      <c r="T42" s="30">
        <f>$O$42*12</f>
        <v>300</v>
      </c>
      <c r="U42" s="89" t="s">
        <v>112</v>
      </c>
    </row>
    <row r="43" spans="1:41" ht="15.75" customHeight="1" outlineLevel="2" x14ac:dyDescent="0.25">
      <c r="B43" s="9" t="s">
        <v>113</v>
      </c>
      <c r="C43" s="13" t="s">
        <v>45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0.1</v>
      </c>
      <c r="N43" s="87">
        <v>0.2</v>
      </c>
      <c r="O43" s="87">
        <v>0.3</v>
      </c>
      <c r="P43" s="87">
        <v>0.4</v>
      </c>
      <c r="Q43" s="87">
        <v>0.5</v>
      </c>
      <c r="R43" s="87">
        <v>0.5</v>
      </c>
      <c r="S43" s="87">
        <v>0.5</v>
      </c>
      <c r="T43" s="87">
        <v>0.5</v>
      </c>
      <c r="U43" s="26" t="s">
        <v>114</v>
      </c>
    </row>
    <row r="44" spans="1:41" ht="15.75" customHeight="1" outlineLevel="2" x14ac:dyDescent="0.25">
      <c r="B44" s="9" t="s">
        <v>115</v>
      </c>
      <c r="C44" s="13" t="s">
        <v>45</v>
      </c>
      <c r="D44" s="87">
        <v>0.03</v>
      </c>
      <c r="E44" s="87">
        <v>0.03</v>
      </c>
      <c r="F44" s="87">
        <v>0.03</v>
      </c>
      <c r="G44" s="87">
        <v>0.03</v>
      </c>
      <c r="H44" s="87">
        <v>0.03</v>
      </c>
      <c r="I44" s="87">
        <v>0.03</v>
      </c>
      <c r="J44" s="87">
        <v>0.03</v>
      </c>
      <c r="K44" s="87">
        <v>0.03</v>
      </c>
      <c r="L44" s="87">
        <v>0.03</v>
      </c>
      <c r="M44" s="87">
        <v>0.03</v>
      </c>
      <c r="N44" s="87">
        <v>0.03</v>
      </c>
      <c r="O44" s="87">
        <v>0.03</v>
      </c>
      <c r="P44" s="87">
        <v>0.03</v>
      </c>
      <c r="Q44" s="87">
        <v>0.03</v>
      </c>
      <c r="R44" s="87">
        <v>0.03</v>
      </c>
      <c r="S44" s="87">
        <v>0.03</v>
      </c>
      <c r="T44" s="87">
        <v>0.03</v>
      </c>
      <c r="U44" s="89" t="s">
        <v>116</v>
      </c>
    </row>
    <row r="45" spans="1:41" ht="15.75" customHeight="1" outlineLevel="2" x14ac:dyDescent="0.25">
      <c r="B45" s="9" t="s">
        <v>117</v>
      </c>
      <c r="C45" s="13" t="s">
        <v>82</v>
      </c>
      <c r="D45" s="31">
        <f t="shared" ref="D45:S45" si="13">+PRODUCT(D41:D44)</f>
        <v>0</v>
      </c>
      <c r="E45" s="31">
        <f t="shared" si="13"/>
        <v>0</v>
      </c>
      <c r="F45" s="31">
        <f t="shared" si="13"/>
        <v>0</v>
      </c>
      <c r="G45" s="31">
        <f t="shared" si="13"/>
        <v>0</v>
      </c>
      <c r="H45" s="31">
        <f t="shared" si="13"/>
        <v>0</v>
      </c>
      <c r="I45" s="31">
        <f t="shared" si="13"/>
        <v>0</v>
      </c>
      <c r="J45" s="31">
        <f t="shared" si="13"/>
        <v>0</v>
      </c>
      <c r="K45" s="31">
        <f t="shared" si="13"/>
        <v>0</v>
      </c>
      <c r="L45" s="31">
        <f t="shared" si="13"/>
        <v>0</v>
      </c>
      <c r="M45" s="31">
        <f t="shared" si="13"/>
        <v>0</v>
      </c>
      <c r="N45" s="31">
        <f t="shared" si="13"/>
        <v>0</v>
      </c>
      <c r="O45" s="31">
        <f t="shared" si="13"/>
        <v>3482.0220410156248</v>
      </c>
      <c r="P45" s="31">
        <f t="shared" si="13"/>
        <v>45444.93522363279</v>
      </c>
      <c r="Q45" s="31">
        <f t="shared" si="13"/>
        <v>118312.39932182328</v>
      </c>
      <c r="R45" s="31">
        <f t="shared" si="13"/>
        <v>238214.45838522699</v>
      </c>
      <c r="S45" s="31">
        <f t="shared" si="13"/>
        <v>418463.86443166662</v>
      </c>
      <c r="T45" s="31">
        <f>+PRODUCT(T41:T44)</f>
        <v>7848567.4839969277</v>
      </c>
    </row>
    <row r="46" spans="1:41" ht="5" customHeight="1" outlineLevel="1" x14ac:dyDescent="0.25">
      <c r="C46" s="13"/>
    </row>
    <row r="47" spans="1:41" ht="15.75" customHeight="1" x14ac:dyDescent="0.4">
      <c r="A47" s="18"/>
      <c r="B47" s="115" t="s">
        <v>118</v>
      </c>
      <c r="C47" s="116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 ht="15.75" customHeight="1" outlineLevel="1" x14ac:dyDescent="0.25">
      <c r="C48" s="13"/>
    </row>
    <row r="49" spans="2:21" ht="15.75" customHeight="1" outlineLevel="1" x14ac:dyDescent="0.4">
      <c r="B49" s="97" t="s">
        <v>50</v>
      </c>
      <c r="C49" s="1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2:21" ht="15.75" customHeight="1" outlineLevel="1" x14ac:dyDescent="0.3">
      <c r="B50" s="98" t="s">
        <v>51</v>
      </c>
      <c r="C50" s="13"/>
      <c r="D50" s="25" t="s">
        <v>52</v>
      </c>
      <c r="E50" s="25" t="s">
        <v>53</v>
      </c>
      <c r="F50" s="25" t="s">
        <v>54</v>
      </c>
      <c r="G50" s="25" t="s">
        <v>55</v>
      </c>
      <c r="H50" s="25" t="s">
        <v>56</v>
      </c>
      <c r="I50" s="25" t="s">
        <v>57</v>
      </c>
      <c r="J50" s="37" t="s">
        <v>58</v>
      </c>
      <c r="K50" s="25" t="s">
        <v>59</v>
      </c>
      <c r="L50" s="25" t="s">
        <v>60</v>
      </c>
      <c r="M50" s="25" t="s">
        <v>61</v>
      </c>
      <c r="N50" s="25" t="s">
        <v>62</v>
      </c>
      <c r="O50" s="25" t="s">
        <v>63</v>
      </c>
      <c r="P50" s="25" t="s">
        <v>64</v>
      </c>
      <c r="Q50" s="25" t="s">
        <v>65</v>
      </c>
      <c r="R50" s="25" t="s">
        <v>66</v>
      </c>
      <c r="S50" s="25" t="s">
        <v>67</v>
      </c>
      <c r="T50" s="25" t="s">
        <v>68</v>
      </c>
    </row>
    <row r="51" spans="2:21" ht="15.75" customHeight="1" outlineLevel="1" x14ac:dyDescent="0.25">
      <c r="B51" s="99" t="s">
        <v>69</v>
      </c>
      <c r="C51" s="13" t="s">
        <v>45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0.05</v>
      </c>
      <c r="R51" s="87">
        <v>0.05</v>
      </c>
      <c r="S51" s="87">
        <v>0.05</v>
      </c>
      <c r="T51" s="87">
        <v>0.1</v>
      </c>
      <c r="U51" s="85" t="s">
        <v>70</v>
      </c>
    </row>
    <row r="52" spans="2:21" ht="12.5" outlineLevel="2" x14ac:dyDescent="0.25">
      <c r="B52" s="99" t="s">
        <v>71</v>
      </c>
      <c r="C52" s="117" t="s">
        <v>72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f t="shared" ref="L52:O52" si="14">K52*(1+L51)</f>
        <v>0</v>
      </c>
      <c r="M52" s="30">
        <v>0</v>
      </c>
      <c r="N52" s="30">
        <f t="shared" si="14"/>
        <v>0</v>
      </c>
      <c r="O52" s="30">
        <f t="shared" si="14"/>
        <v>0</v>
      </c>
      <c r="P52" s="30">
        <v>1</v>
      </c>
      <c r="Q52" s="35">
        <f>P52*(1+Q51)^3</f>
        <v>1.1576250000000001</v>
      </c>
      <c r="R52" s="35">
        <f t="shared" ref="R52:S52" si="15">Q52*(1+R51)^3</f>
        <v>1.3400956406250002</v>
      </c>
      <c r="S52" s="35">
        <f t="shared" si="15"/>
        <v>1.551328215978516</v>
      </c>
      <c r="T52" s="35">
        <f>S52*(1+T51)^12</f>
        <v>4.8687324946349433</v>
      </c>
    </row>
    <row r="53" spans="2:21" ht="16.5" customHeight="1" outlineLevel="2" x14ac:dyDescent="0.25">
      <c r="B53" s="9" t="s">
        <v>74</v>
      </c>
      <c r="C53" s="29" t="s">
        <v>45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0.01</v>
      </c>
      <c r="Q53" s="87">
        <v>0.01</v>
      </c>
      <c r="R53" s="87">
        <v>0.01</v>
      </c>
      <c r="S53" s="87">
        <v>0.01</v>
      </c>
      <c r="T53" s="87">
        <v>0.01</v>
      </c>
      <c r="U53" s="89" t="s">
        <v>119</v>
      </c>
    </row>
    <row r="54" spans="2:21" ht="17.25" customHeight="1" outlineLevel="2" x14ac:dyDescent="0.25">
      <c r="B54" s="9" t="s">
        <v>76</v>
      </c>
      <c r="C54" s="88" t="s">
        <v>77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50000</v>
      </c>
      <c r="Q54" s="30">
        <v>50000</v>
      </c>
      <c r="R54" s="30">
        <v>50000</v>
      </c>
      <c r="S54" s="30">
        <v>50000</v>
      </c>
      <c r="T54" s="30">
        <v>50000</v>
      </c>
      <c r="U54" s="89" t="s">
        <v>120</v>
      </c>
    </row>
    <row r="55" spans="2:21" ht="15.75" customHeight="1" outlineLevel="2" x14ac:dyDescent="0.25">
      <c r="B55" s="9" t="s">
        <v>78</v>
      </c>
      <c r="C55" s="13" t="s">
        <v>79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3</v>
      </c>
      <c r="O55" s="30">
        <v>3</v>
      </c>
      <c r="P55" s="30">
        <f>$O$55*3</f>
        <v>9</v>
      </c>
      <c r="Q55" s="30">
        <f t="shared" ref="Q55:S55" si="16">$O$55*3</f>
        <v>9</v>
      </c>
      <c r="R55" s="30">
        <f t="shared" si="16"/>
        <v>9</v>
      </c>
      <c r="S55" s="30">
        <f t="shared" si="16"/>
        <v>9</v>
      </c>
      <c r="T55" s="30">
        <f>$O$55*12</f>
        <v>36</v>
      </c>
      <c r="U55" s="85" t="s">
        <v>80</v>
      </c>
    </row>
    <row r="56" spans="2:21" ht="15.75" customHeight="1" outlineLevel="2" x14ac:dyDescent="0.25">
      <c r="B56" s="9" t="s">
        <v>81</v>
      </c>
      <c r="C56" s="117" t="s">
        <v>82</v>
      </c>
      <c r="D56" s="31">
        <f t="shared" ref="D56:T56" si="17">+PRODUCT(D52:D55)</f>
        <v>0</v>
      </c>
      <c r="E56" s="31">
        <f t="shared" si="17"/>
        <v>0</v>
      </c>
      <c r="F56" s="31">
        <f t="shared" si="17"/>
        <v>0</v>
      </c>
      <c r="G56" s="31">
        <f t="shared" si="17"/>
        <v>0</v>
      </c>
      <c r="H56" s="31">
        <f t="shared" si="17"/>
        <v>0</v>
      </c>
      <c r="I56" s="31">
        <f t="shared" si="17"/>
        <v>0</v>
      </c>
      <c r="J56" s="31">
        <f t="shared" si="17"/>
        <v>0</v>
      </c>
      <c r="K56" s="31">
        <f t="shared" si="17"/>
        <v>0</v>
      </c>
      <c r="L56" s="31">
        <f t="shared" si="17"/>
        <v>0</v>
      </c>
      <c r="M56" s="31">
        <f t="shared" si="17"/>
        <v>0</v>
      </c>
      <c r="N56" s="31">
        <f t="shared" si="17"/>
        <v>0</v>
      </c>
      <c r="O56" s="31">
        <f t="shared" si="17"/>
        <v>0</v>
      </c>
      <c r="P56" s="31">
        <f>+PRODUCT(P52:P55)</f>
        <v>4500</v>
      </c>
      <c r="Q56" s="31">
        <f t="shared" si="17"/>
        <v>5209.3125000000009</v>
      </c>
      <c r="R56" s="31">
        <f t="shared" si="17"/>
        <v>6030.4303828125012</v>
      </c>
      <c r="S56" s="31">
        <f t="shared" si="17"/>
        <v>6980.976971903322</v>
      </c>
      <c r="T56" s="31">
        <f t="shared" si="17"/>
        <v>87637.184903428977</v>
      </c>
    </row>
    <row r="57" spans="2:21" ht="15.75" customHeight="1" outlineLevel="1" x14ac:dyDescent="0.25">
      <c r="B57" s="9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2:21" ht="15.75" customHeight="1" outlineLevel="1" x14ac:dyDescent="0.3">
      <c r="B58" s="98" t="s">
        <v>83</v>
      </c>
      <c r="C58" s="13"/>
      <c r="D58" s="25" t="s">
        <v>52</v>
      </c>
      <c r="E58" s="25" t="s">
        <v>53</v>
      </c>
      <c r="F58" s="25" t="s">
        <v>54</v>
      </c>
      <c r="G58" s="25" t="s">
        <v>55</v>
      </c>
      <c r="H58" s="25" t="s">
        <v>56</v>
      </c>
      <c r="I58" s="25" t="s">
        <v>57</v>
      </c>
      <c r="J58" s="25" t="s">
        <v>58</v>
      </c>
      <c r="K58" s="25" t="s">
        <v>59</v>
      </c>
      <c r="L58" s="25" t="s">
        <v>60</v>
      </c>
      <c r="M58" s="25" t="s">
        <v>61</v>
      </c>
      <c r="N58" s="25" t="s">
        <v>62</v>
      </c>
      <c r="O58" s="25" t="s">
        <v>63</v>
      </c>
      <c r="P58" s="25" t="s">
        <v>64</v>
      </c>
      <c r="Q58" s="25" t="s">
        <v>65</v>
      </c>
      <c r="R58" s="25" t="s">
        <v>66</v>
      </c>
      <c r="S58" s="25" t="s">
        <v>67</v>
      </c>
      <c r="T58" s="25" t="s">
        <v>68</v>
      </c>
    </row>
    <row r="59" spans="2:21" ht="15.75" customHeight="1" outlineLevel="1" x14ac:dyDescent="0.25">
      <c r="B59" s="9" t="s">
        <v>69</v>
      </c>
      <c r="C59" s="13" t="s">
        <v>45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1</v>
      </c>
      <c r="O59" s="87">
        <v>1</v>
      </c>
      <c r="P59" s="87">
        <v>0.9</v>
      </c>
      <c r="Q59" s="87">
        <v>0.65</v>
      </c>
      <c r="R59" s="87">
        <v>0.3</v>
      </c>
      <c r="S59" s="87">
        <v>0.1</v>
      </c>
      <c r="T59" s="87">
        <v>0.05</v>
      </c>
      <c r="U59" s="85" t="s">
        <v>84</v>
      </c>
    </row>
    <row r="60" spans="2:21" ht="15.75" customHeight="1" outlineLevel="2" x14ac:dyDescent="0.25">
      <c r="B60" s="99" t="s">
        <v>85</v>
      </c>
      <c r="C60" s="13" t="s">
        <v>86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f t="shared" ref="K60" si="18">J60*(1+K59)</f>
        <v>0</v>
      </c>
      <c r="L60" s="30">
        <v>0</v>
      </c>
      <c r="M60" s="30">
        <v>1</v>
      </c>
      <c r="N60" s="35">
        <f>M60*(1+N59)</f>
        <v>2</v>
      </c>
      <c r="O60" s="35">
        <f>N60*(1+O59)</f>
        <v>4</v>
      </c>
      <c r="P60" s="35">
        <f>O60*(1+P59)^3</f>
        <v>27.435999999999996</v>
      </c>
      <c r="Q60" s="35">
        <f>P60*(1+Q59)^3</f>
        <v>123.24594149999997</v>
      </c>
      <c r="R60" s="35">
        <f t="shared" ref="R60:S60" si="19">Q60*(1+R59)^3</f>
        <v>270.7713334755</v>
      </c>
      <c r="S60" s="35">
        <f t="shared" si="19"/>
        <v>360.3966448558906</v>
      </c>
      <c r="T60" s="36">
        <f>S60*(1+T59)^12</f>
        <v>647.22059454160183</v>
      </c>
      <c r="U60" s="85" t="s">
        <v>87</v>
      </c>
    </row>
    <row r="61" spans="2:21" ht="15.75" customHeight="1" outlineLevel="2" x14ac:dyDescent="0.25">
      <c r="B61" s="9" t="s">
        <v>88</v>
      </c>
      <c r="C61" s="13" t="s">
        <v>89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50000</v>
      </c>
      <c r="M61" s="30">
        <v>50000</v>
      </c>
      <c r="N61" s="30">
        <v>50000</v>
      </c>
      <c r="O61" s="30">
        <v>50000</v>
      </c>
      <c r="P61" s="30">
        <v>50000</v>
      </c>
      <c r="Q61" s="30">
        <v>50000</v>
      </c>
      <c r="R61" s="30">
        <v>50000</v>
      </c>
      <c r="S61" s="30">
        <v>50000</v>
      </c>
      <c r="T61" s="30">
        <v>50000</v>
      </c>
      <c r="U61" s="85" t="s">
        <v>90</v>
      </c>
    </row>
    <row r="62" spans="2:21" ht="12.5" outlineLevel="2" x14ac:dyDescent="0.25">
      <c r="B62" s="99" t="s">
        <v>91</v>
      </c>
      <c r="C62" s="29" t="s">
        <v>45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87">
        <v>0</v>
      </c>
      <c r="M62" s="87">
        <v>0.1</v>
      </c>
      <c r="N62" s="87">
        <v>0.2</v>
      </c>
      <c r="O62" s="87">
        <v>0.3</v>
      </c>
      <c r="P62" s="87">
        <v>0.4</v>
      </c>
      <c r="Q62" s="87">
        <v>0.4</v>
      </c>
      <c r="R62" s="87">
        <v>0.4</v>
      </c>
      <c r="S62" s="87">
        <v>0.4</v>
      </c>
      <c r="T62" s="87">
        <v>0.4</v>
      </c>
      <c r="U62" s="89" t="s">
        <v>92</v>
      </c>
    </row>
    <row r="63" spans="2:21" ht="12.5" outlineLevel="2" x14ac:dyDescent="0.25">
      <c r="B63" s="102" t="s">
        <v>93</v>
      </c>
      <c r="C63" s="13" t="s">
        <v>94</v>
      </c>
      <c r="D63" s="36">
        <f t="shared" ref="D63:T63" si="20">D60*D61*D62</f>
        <v>0</v>
      </c>
      <c r="E63" s="36">
        <f t="shared" si="20"/>
        <v>0</v>
      </c>
      <c r="F63" s="36">
        <f t="shared" si="20"/>
        <v>0</v>
      </c>
      <c r="G63" s="36">
        <f t="shared" si="20"/>
        <v>0</v>
      </c>
      <c r="H63" s="36">
        <f t="shared" si="20"/>
        <v>0</v>
      </c>
      <c r="I63" s="36">
        <f t="shared" si="20"/>
        <v>0</v>
      </c>
      <c r="J63" s="36">
        <f t="shared" si="20"/>
        <v>0</v>
      </c>
      <c r="K63" s="36">
        <f t="shared" si="20"/>
        <v>0</v>
      </c>
      <c r="L63" s="36">
        <f t="shared" si="20"/>
        <v>0</v>
      </c>
      <c r="M63" s="36">
        <f t="shared" si="20"/>
        <v>5000</v>
      </c>
      <c r="N63" s="36">
        <f t="shared" si="20"/>
        <v>20000</v>
      </c>
      <c r="O63" s="36">
        <f t="shared" si="20"/>
        <v>60000</v>
      </c>
      <c r="P63" s="36">
        <f t="shared" si="20"/>
        <v>548719.99999999988</v>
      </c>
      <c r="Q63" s="36">
        <f t="shared" si="20"/>
        <v>2464918.8299999996</v>
      </c>
      <c r="R63" s="36">
        <f t="shared" si="20"/>
        <v>5415426.6695100004</v>
      </c>
      <c r="S63" s="36">
        <f t="shared" si="20"/>
        <v>7207932.8971178122</v>
      </c>
      <c r="T63" s="36">
        <f t="shared" si="20"/>
        <v>12944411.890832037</v>
      </c>
    </row>
    <row r="64" spans="2:21" ht="12.5" outlineLevel="2" x14ac:dyDescent="0.25">
      <c r="B64" s="99" t="s">
        <v>95</v>
      </c>
      <c r="C64" s="13" t="s">
        <v>96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0.05</v>
      </c>
      <c r="N64" s="21">
        <v>0.05</v>
      </c>
      <c r="O64" s="21">
        <v>0.05</v>
      </c>
      <c r="P64" s="86">
        <v>7.4999999999999997E-2</v>
      </c>
      <c r="Q64" s="86">
        <v>7.4999999999999997E-2</v>
      </c>
      <c r="R64" s="86">
        <v>7.4999999999999997E-2</v>
      </c>
      <c r="S64" s="86">
        <v>0.1</v>
      </c>
      <c r="T64" s="21">
        <v>0.15</v>
      </c>
      <c r="U64" s="26" t="s">
        <v>97</v>
      </c>
    </row>
    <row r="65" spans="1:41" ht="15.75" customHeight="1" outlineLevel="2" x14ac:dyDescent="0.25">
      <c r="B65" s="9" t="s">
        <v>98</v>
      </c>
      <c r="C65" s="13" t="s">
        <v>99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3</v>
      </c>
      <c r="N65" s="30">
        <v>3</v>
      </c>
      <c r="O65" s="30">
        <v>3</v>
      </c>
      <c r="P65" s="30">
        <f>$O$65*3</f>
        <v>9</v>
      </c>
      <c r="Q65" s="30">
        <f t="shared" ref="Q65:S65" si="21">$O$65*3</f>
        <v>9</v>
      </c>
      <c r="R65" s="30">
        <f t="shared" si="21"/>
        <v>9</v>
      </c>
      <c r="S65" s="30">
        <f t="shared" si="21"/>
        <v>9</v>
      </c>
      <c r="T65" s="30">
        <f>$O$65*12</f>
        <v>36</v>
      </c>
      <c r="U65" s="85" t="s">
        <v>80</v>
      </c>
    </row>
    <row r="66" spans="1:41" ht="15.75" customHeight="1" outlineLevel="2" x14ac:dyDescent="0.25">
      <c r="B66" s="9" t="s">
        <v>81</v>
      </c>
      <c r="C66" s="88" t="s">
        <v>82</v>
      </c>
      <c r="D66" s="31">
        <f t="shared" ref="D66:T66" si="22">+PRODUCT(D63:D65)</f>
        <v>0</v>
      </c>
      <c r="E66" s="31">
        <f t="shared" si="22"/>
        <v>0</v>
      </c>
      <c r="F66" s="31">
        <f t="shared" si="22"/>
        <v>0</v>
      </c>
      <c r="G66" s="31">
        <f t="shared" si="22"/>
        <v>0</v>
      </c>
      <c r="H66" s="31">
        <f t="shared" si="22"/>
        <v>0</v>
      </c>
      <c r="I66" s="31">
        <f t="shared" si="22"/>
        <v>0</v>
      </c>
      <c r="J66" s="31">
        <f t="shared" si="22"/>
        <v>0</v>
      </c>
      <c r="K66" s="31">
        <f t="shared" si="22"/>
        <v>0</v>
      </c>
      <c r="L66" s="31">
        <f t="shared" si="22"/>
        <v>0</v>
      </c>
      <c r="M66" s="31">
        <f t="shared" si="22"/>
        <v>750</v>
      </c>
      <c r="N66" s="31">
        <f t="shared" si="22"/>
        <v>3000</v>
      </c>
      <c r="O66" s="31">
        <f t="shared" si="22"/>
        <v>9000</v>
      </c>
      <c r="P66" s="31">
        <f t="shared" si="22"/>
        <v>370385.99999999994</v>
      </c>
      <c r="Q66" s="31">
        <f t="shared" si="22"/>
        <v>1663820.2102499998</v>
      </c>
      <c r="R66" s="31">
        <f t="shared" si="22"/>
        <v>3655413.00191925</v>
      </c>
      <c r="S66" s="31">
        <f t="shared" si="22"/>
        <v>6487139.6074060313</v>
      </c>
      <c r="T66" s="31">
        <f t="shared" si="22"/>
        <v>69899824.210492998</v>
      </c>
    </row>
    <row r="67" spans="1:41" ht="15.75" customHeight="1" outlineLevel="1" x14ac:dyDescent="0.25">
      <c r="B67" s="9"/>
    </row>
    <row r="68" spans="1:41" ht="20" outlineLevel="1" x14ac:dyDescent="0.4">
      <c r="B68" s="100" t="s">
        <v>100</v>
      </c>
      <c r="D68" s="25" t="s">
        <v>52</v>
      </c>
      <c r="E68" s="25" t="s">
        <v>53</v>
      </c>
      <c r="F68" s="25" t="s">
        <v>54</v>
      </c>
      <c r="G68" s="25" t="s">
        <v>55</v>
      </c>
      <c r="H68" s="25" t="s">
        <v>56</v>
      </c>
      <c r="I68" s="25" t="s">
        <v>57</v>
      </c>
      <c r="J68" s="25" t="s">
        <v>58</v>
      </c>
      <c r="K68" s="25" t="s">
        <v>59</v>
      </c>
      <c r="L68" s="25" t="s">
        <v>60</v>
      </c>
      <c r="M68" s="25" t="s">
        <v>61</v>
      </c>
      <c r="N68" s="25" t="s">
        <v>62</v>
      </c>
      <c r="O68" s="25" t="s">
        <v>63</v>
      </c>
      <c r="P68" s="25" t="s">
        <v>64</v>
      </c>
      <c r="Q68" s="25" t="s">
        <v>65</v>
      </c>
      <c r="R68" s="25" t="s">
        <v>66</v>
      </c>
      <c r="S68" s="25" t="s">
        <v>67</v>
      </c>
      <c r="T68" s="25" t="s">
        <v>68</v>
      </c>
    </row>
    <row r="69" spans="1:41" ht="15.75" customHeight="1" outlineLevel="1" x14ac:dyDescent="0.25">
      <c r="B69" s="9" t="s">
        <v>101</v>
      </c>
      <c r="C69" s="13" t="s">
        <v>102</v>
      </c>
      <c r="D69" s="35">
        <f t="shared" ref="D69:T69" si="23">(D54*D52)+D63</f>
        <v>0</v>
      </c>
      <c r="E69" s="35">
        <f t="shared" si="23"/>
        <v>0</v>
      </c>
      <c r="F69" s="35">
        <f t="shared" si="23"/>
        <v>0</v>
      </c>
      <c r="G69" s="35">
        <f t="shared" si="23"/>
        <v>0</v>
      </c>
      <c r="H69" s="35">
        <f t="shared" si="23"/>
        <v>0</v>
      </c>
      <c r="I69" s="35">
        <f t="shared" si="23"/>
        <v>0</v>
      </c>
      <c r="J69" s="35">
        <f t="shared" si="23"/>
        <v>0</v>
      </c>
      <c r="K69" s="35">
        <f t="shared" si="23"/>
        <v>0</v>
      </c>
      <c r="L69" s="35">
        <f t="shared" si="23"/>
        <v>0</v>
      </c>
      <c r="M69" s="35">
        <f t="shared" si="23"/>
        <v>5000</v>
      </c>
      <c r="N69" s="35">
        <f t="shared" si="23"/>
        <v>20000</v>
      </c>
      <c r="O69" s="35">
        <f t="shared" si="23"/>
        <v>60000</v>
      </c>
      <c r="P69" s="35">
        <f t="shared" si="23"/>
        <v>598719.99999999988</v>
      </c>
      <c r="Q69" s="35">
        <f t="shared" si="23"/>
        <v>2522800.0799999996</v>
      </c>
      <c r="R69" s="35">
        <f t="shared" si="23"/>
        <v>5482431.4515412506</v>
      </c>
      <c r="S69" s="35">
        <f t="shared" si="23"/>
        <v>7285499.3079167381</v>
      </c>
      <c r="T69" s="35">
        <f t="shared" si="23"/>
        <v>13187848.515563784</v>
      </c>
      <c r="U69" s="94">
        <f>T69/365000000</f>
        <v>3.613109182346242E-2</v>
      </c>
      <c r="V69" s="89" t="s">
        <v>121</v>
      </c>
    </row>
    <row r="70" spans="1:41" ht="15.75" customHeight="1" outlineLevel="1" x14ac:dyDescent="0.25">
      <c r="B70" s="9" t="s">
        <v>104</v>
      </c>
      <c r="C70" s="13" t="s">
        <v>105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1</v>
      </c>
      <c r="K70" s="30">
        <v>1</v>
      </c>
      <c r="L70" s="30">
        <v>1</v>
      </c>
      <c r="M70" s="30">
        <v>1</v>
      </c>
      <c r="N70" s="30">
        <v>1</v>
      </c>
      <c r="O70" s="30">
        <v>1</v>
      </c>
      <c r="P70" s="30">
        <v>2</v>
      </c>
      <c r="Q70" s="30">
        <v>3</v>
      </c>
      <c r="R70" s="30">
        <v>3</v>
      </c>
      <c r="S70" s="30">
        <v>3</v>
      </c>
      <c r="T70" s="30">
        <v>4.2650366599999998</v>
      </c>
      <c r="U70" s="89" t="s">
        <v>122</v>
      </c>
    </row>
    <row r="71" spans="1:41" ht="15.75" customHeight="1" outlineLevel="2" x14ac:dyDescent="0.25">
      <c r="B71" s="9" t="s">
        <v>106</v>
      </c>
      <c r="C71" s="13" t="s">
        <v>102</v>
      </c>
      <c r="D71" s="35">
        <f t="shared" ref="D71:S71" si="24">D69*D70</f>
        <v>0</v>
      </c>
      <c r="E71" s="35">
        <f t="shared" si="24"/>
        <v>0</v>
      </c>
      <c r="F71" s="35">
        <f t="shared" si="24"/>
        <v>0</v>
      </c>
      <c r="G71" s="35">
        <f t="shared" si="24"/>
        <v>0</v>
      </c>
      <c r="H71" s="35">
        <f t="shared" si="24"/>
        <v>0</v>
      </c>
      <c r="I71" s="35">
        <f t="shared" si="24"/>
        <v>0</v>
      </c>
      <c r="J71" s="35">
        <f t="shared" si="24"/>
        <v>0</v>
      </c>
      <c r="K71" s="35">
        <f t="shared" si="24"/>
        <v>0</v>
      </c>
      <c r="L71" s="35">
        <f t="shared" si="24"/>
        <v>0</v>
      </c>
      <c r="M71" s="35">
        <f t="shared" si="24"/>
        <v>5000</v>
      </c>
      <c r="N71" s="35">
        <f t="shared" si="24"/>
        <v>20000</v>
      </c>
      <c r="O71" s="35">
        <f t="shared" si="24"/>
        <v>60000</v>
      </c>
      <c r="P71" s="35">
        <f t="shared" si="24"/>
        <v>1197439.9999999998</v>
      </c>
      <c r="Q71" s="35">
        <f t="shared" si="24"/>
        <v>7568400.2399999984</v>
      </c>
      <c r="R71" s="35">
        <f t="shared" si="24"/>
        <v>16447294.354623752</v>
      </c>
      <c r="S71" s="35">
        <f t="shared" si="24"/>
        <v>21856497.923750214</v>
      </c>
      <c r="T71" s="35">
        <f>T69*T70</f>
        <v>56246657.385406114</v>
      </c>
    </row>
    <row r="72" spans="1:41" ht="15.75" customHeight="1" outlineLevel="2" x14ac:dyDescent="0.25">
      <c r="B72" s="99" t="s">
        <v>107</v>
      </c>
      <c r="C72" s="13" t="s">
        <v>45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0.05</v>
      </c>
      <c r="O72" s="21">
        <v>0.1</v>
      </c>
      <c r="P72" s="21">
        <v>0.18</v>
      </c>
      <c r="Q72" s="21">
        <v>0.18</v>
      </c>
      <c r="R72" s="21">
        <v>0.18</v>
      </c>
      <c r="S72" s="21">
        <v>0.18</v>
      </c>
      <c r="T72" s="21">
        <v>0.18</v>
      </c>
      <c r="U72" t="s">
        <v>108</v>
      </c>
    </row>
    <row r="73" spans="1:41" ht="15.75" customHeight="1" outlineLevel="2" x14ac:dyDescent="0.25">
      <c r="B73" s="9" t="s">
        <v>109</v>
      </c>
      <c r="C73" s="13" t="s">
        <v>110</v>
      </c>
      <c r="D73" s="35">
        <f t="shared" ref="D73:T73" si="25">D71*D72</f>
        <v>0</v>
      </c>
      <c r="E73" s="35">
        <f t="shared" si="25"/>
        <v>0</v>
      </c>
      <c r="F73" s="35">
        <f t="shared" si="25"/>
        <v>0</v>
      </c>
      <c r="G73" s="35">
        <f t="shared" si="25"/>
        <v>0</v>
      </c>
      <c r="H73" s="35">
        <f t="shared" si="25"/>
        <v>0</v>
      </c>
      <c r="I73" s="35">
        <f t="shared" si="25"/>
        <v>0</v>
      </c>
      <c r="J73" s="35">
        <f t="shared" si="25"/>
        <v>0</v>
      </c>
      <c r="K73" s="35">
        <f t="shared" si="25"/>
        <v>0</v>
      </c>
      <c r="L73" s="35">
        <f t="shared" si="25"/>
        <v>0</v>
      </c>
      <c r="M73" s="35">
        <f t="shared" si="25"/>
        <v>0</v>
      </c>
      <c r="N73" s="35">
        <f t="shared" si="25"/>
        <v>1000</v>
      </c>
      <c r="O73" s="35">
        <f t="shared" si="25"/>
        <v>6000</v>
      </c>
      <c r="P73" s="35">
        <f t="shared" si="25"/>
        <v>215539.19999999995</v>
      </c>
      <c r="Q73" s="35">
        <f t="shared" si="25"/>
        <v>1362312.0431999997</v>
      </c>
      <c r="R73" s="35">
        <f t="shared" si="25"/>
        <v>2960512.983832275</v>
      </c>
      <c r="S73" s="35">
        <f t="shared" si="25"/>
        <v>3934169.6262750383</v>
      </c>
      <c r="T73" s="35">
        <f t="shared" si="25"/>
        <v>10124398.329373101</v>
      </c>
    </row>
    <row r="74" spans="1:41" ht="12.5" outlineLevel="2" x14ac:dyDescent="0.25">
      <c r="B74" s="9" t="s">
        <v>111</v>
      </c>
      <c r="C74" s="13" t="s">
        <v>82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50</v>
      </c>
      <c r="O74" s="30">
        <v>50</v>
      </c>
      <c r="P74" s="30">
        <f>$O$74*3</f>
        <v>150</v>
      </c>
      <c r="Q74" s="30">
        <f t="shared" ref="Q74:S74" si="26">$O$74*3</f>
        <v>150</v>
      </c>
      <c r="R74" s="30">
        <f t="shared" si="26"/>
        <v>150</v>
      </c>
      <c r="S74" s="30">
        <f t="shared" si="26"/>
        <v>150</v>
      </c>
      <c r="T74" s="30">
        <f>$O$74*12</f>
        <v>600</v>
      </c>
      <c r="U74" s="89" t="s">
        <v>112</v>
      </c>
    </row>
    <row r="75" spans="1:41" ht="15.75" customHeight="1" outlineLevel="2" x14ac:dyDescent="0.25">
      <c r="B75" s="9" t="s">
        <v>113</v>
      </c>
      <c r="C75" s="13" t="s">
        <v>45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1</v>
      </c>
      <c r="O75" s="21">
        <v>1</v>
      </c>
      <c r="P75" s="21">
        <v>1</v>
      </c>
      <c r="Q75" s="21">
        <v>1</v>
      </c>
      <c r="R75" s="21">
        <v>1</v>
      </c>
      <c r="S75" s="21">
        <v>1</v>
      </c>
      <c r="T75" s="21">
        <v>1</v>
      </c>
      <c r="U75" s="89" t="s">
        <v>116</v>
      </c>
    </row>
    <row r="76" spans="1:41" ht="15.75" customHeight="1" outlineLevel="2" x14ac:dyDescent="0.25">
      <c r="B76" s="9" t="s">
        <v>115</v>
      </c>
      <c r="C76" s="13" t="s">
        <v>45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0.03</v>
      </c>
      <c r="O76" s="21">
        <v>0.03</v>
      </c>
      <c r="P76" s="21">
        <v>0.03</v>
      </c>
      <c r="Q76" s="21">
        <v>0.03</v>
      </c>
      <c r="R76" s="21">
        <v>0.03</v>
      </c>
      <c r="S76" s="21">
        <v>0.03</v>
      </c>
      <c r="T76" s="21">
        <v>0.03</v>
      </c>
      <c r="U76" s="89" t="s">
        <v>116</v>
      </c>
    </row>
    <row r="77" spans="1:41" ht="15.75" customHeight="1" outlineLevel="2" x14ac:dyDescent="0.25">
      <c r="B77" s="9" t="s">
        <v>117</v>
      </c>
      <c r="C77" s="13" t="s">
        <v>82</v>
      </c>
      <c r="D77" s="31">
        <f t="shared" ref="D77:T77" si="27">+PRODUCT(D73:D76)</f>
        <v>0</v>
      </c>
      <c r="E77" s="31">
        <f t="shared" si="27"/>
        <v>0</v>
      </c>
      <c r="F77" s="31">
        <f t="shared" si="27"/>
        <v>0</v>
      </c>
      <c r="G77" s="31">
        <f t="shared" si="27"/>
        <v>0</v>
      </c>
      <c r="H77" s="31">
        <f t="shared" si="27"/>
        <v>0</v>
      </c>
      <c r="I77" s="31">
        <f t="shared" si="27"/>
        <v>0</v>
      </c>
      <c r="J77" s="31">
        <f t="shared" si="27"/>
        <v>0</v>
      </c>
      <c r="K77" s="31">
        <f t="shared" si="27"/>
        <v>0</v>
      </c>
      <c r="L77" s="31">
        <f t="shared" si="27"/>
        <v>0</v>
      </c>
      <c r="M77" s="31">
        <f t="shared" si="27"/>
        <v>0</v>
      </c>
      <c r="N77" s="31">
        <f t="shared" si="27"/>
        <v>1500</v>
      </c>
      <c r="O77" s="31">
        <f t="shared" si="27"/>
        <v>9000</v>
      </c>
      <c r="P77" s="31">
        <f t="shared" si="27"/>
        <v>969926.39999999979</v>
      </c>
      <c r="Q77" s="31">
        <f t="shared" si="27"/>
        <v>6130404.1943999985</v>
      </c>
      <c r="R77" s="31">
        <f t="shared" si="27"/>
        <v>13322308.427245237</v>
      </c>
      <c r="S77" s="31">
        <f t="shared" si="27"/>
        <v>17703763.318237673</v>
      </c>
      <c r="T77" s="31">
        <f t="shared" si="27"/>
        <v>182239169.9287158</v>
      </c>
    </row>
    <row r="78" spans="1:41" ht="15.75" customHeight="1" x14ac:dyDescent="0.3">
      <c r="A78" s="18"/>
      <c r="B78" s="96"/>
      <c r="C78" s="13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ht="15.75" customHeight="1" x14ac:dyDescent="0.4">
      <c r="A79" s="18"/>
      <c r="B79" s="115" t="s">
        <v>123</v>
      </c>
      <c r="C79" s="116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spans="1:41" ht="15.75" customHeight="1" outlineLevel="1" x14ac:dyDescent="0.25">
      <c r="C80" s="13"/>
    </row>
    <row r="81" spans="2:21" ht="15.75" customHeight="1" outlineLevel="1" x14ac:dyDescent="0.4">
      <c r="B81" s="97" t="s">
        <v>50</v>
      </c>
      <c r="C81" s="13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2:21" ht="15.75" customHeight="1" outlineLevel="1" x14ac:dyDescent="0.3">
      <c r="B82" s="98" t="s">
        <v>51</v>
      </c>
      <c r="C82" s="13"/>
      <c r="D82" s="25" t="s">
        <v>52</v>
      </c>
      <c r="E82" s="25" t="s">
        <v>53</v>
      </c>
      <c r="F82" s="25" t="s">
        <v>54</v>
      </c>
      <c r="G82" s="25" t="s">
        <v>55</v>
      </c>
      <c r="H82" s="25" t="s">
        <v>56</v>
      </c>
      <c r="I82" s="25" t="s">
        <v>57</v>
      </c>
      <c r="J82" s="37" t="s">
        <v>58</v>
      </c>
      <c r="K82" s="25" t="s">
        <v>59</v>
      </c>
      <c r="L82" s="25" t="s">
        <v>60</v>
      </c>
      <c r="M82" s="25" t="s">
        <v>61</v>
      </c>
      <c r="N82" s="25" t="s">
        <v>62</v>
      </c>
      <c r="O82" s="25" t="s">
        <v>63</v>
      </c>
      <c r="P82" s="25" t="s">
        <v>64</v>
      </c>
      <c r="Q82" s="25" t="s">
        <v>65</v>
      </c>
      <c r="R82" s="25" t="s">
        <v>66</v>
      </c>
      <c r="S82" s="25" t="s">
        <v>67</v>
      </c>
      <c r="T82" s="25" t="s">
        <v>68</v>
      </c>
    </row>
    <row r="83" spans="2:21" ht="12.5" outlineLevel="1" x14ac:dyDescent="0.25">
      <c r="B83" s="99" t="s">
        <v>69</v>
      </c>
      <c r="C83" s="13" t="s">
        <v>45</v>
      </c>
      <c r="D83" s="87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87">
        <v>0</v>
      </c>
      <c r="N83" s="87">
        <v>0</v>
      </c>
      <c r="O83" s="87">
        <v>0</v>
      </c>
      <c r="P83" s="87">
        <v>0</v>
      </c>
      <c r="Q83" s="87">
        <v>0</v>
      </c>
      <c r="R83" s="87">
        <v>0</v>
      </c>
      <c r="S83" s="87">
        <v>0</v>
      </c>
      <c r="T83" s="87">
        <v>0.1</v>
      </c>
      <c r="U83" s="85" t="s">
        <v>70</v>
      </c>
    </row>
    <row r="84" spans="2:21" ht="12.5" outlineLevel="2" x14ac:dyDescent="0.25">
      <c r="B84" s="99" t="s">
        <v>71</v>
      </c>
      <c r="C84" s="117" t="s">
        <v>72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5">
        <v>10</v>
      </c>
    </row>
    <row r="85" spans="2:21" ht="17.25" customHeight="1" outlineLevel="2" x14ac:dyDescent="0.25">
      <c r="B85" s="9" t="s">
        <v>74</v>
      </c>
      <c r="C85" s="29" t="s">
        <v>45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87">
        <v>0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>
        <v>0.01</v>
      </c>
      <c r="U85" s="89" t="s">
        <v>119</v>
      </c>
    </row>
    <row r="86" spans="2:21" ht="16.5" customHeight="1" outlineLevel="2" x14ac:dyDescent="0.25">
      <c r="B86" s="9" t="s">
        <v>76</v>
      </c>
      <c r="C86" s="88" t="s">
        <v>77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50000</v>
      </c>
      <c r="U86" s="89" t="s">
        <v>120</v>
      </c>
    </row>
    <row r="87" spans="2:21" ht="15.75" customHeight="1" outlineLevel="2" x14ac:dyDescent="0.25">
      <c r="B87" s="9" t="s">
        <v>78</v>
      </c>
      <c r="C87" s="13" t="s">
        <v>79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36</v>
      </c>
      <c r="U87" s="85" t="s">
        <v>80</v>
      </c>
    </row>
    <row r="88" spans="2:21" ht="15.75" customHeight="1" outlineLevel="2" x14ac:dyDescent="0.25">
      <c r="B88" s="9" t="s">
        <v>81</v>
      </c>
      <c r="C88" s="117" t="s">
        <v>82</v>
      </c>
      <c r="D88" s="31">
        <f t="shared" ref="D88:T88" si="28">+PRODUCT(D84:D87)</f>
        <v>0</v>
      </c>
      <c r="E88" s="31">
        <f t="shared" si="28"/>
        <v>0</v>
      </c>
      <c r="F88" s="31">
        <f t="shared" si="28"/>
        <v>0</v>
      </c>
      <c r="G88" s="31">
        <f t="shared" si="28"/>
        <v>0</v>
      </c>
      <c r="H88" s="31">
        <f t="shared" si="28"/>
        <v>0</v>
      </c>
      <c r="I88" s="31">
        <f t="shared" si="28"/>
        <v>0</v>
      </c>
      <c r="J88" s="31">
        <f t="shared" si="28"/>
        <v>0</v>
      </c>
      <c r="K88" s="31">
        <f t="shared" si="28"/>
        <v>0</v>
      </c>
      <c r="L88" s="31">
        <f t="shared" si="28"/>
        <v>0</v>
      </c>
      <c r="M88" s="31">
        <f t="shared" si="28"/>
        <v>0</v>
      </c>
      <c r="N88" s="31">
        <f t="shared" si="28"/>
        <v>0</v>
      </c>
      <c r="O88" s="31">
        <f t="shared" si="28"/>
        <v>0</v>
      </c>
      <c r="P88" s="31">
        <f t="shared" si="28"/>
        <v>0</v>
      </c>
      <c r="Q88" s="31">
        <f t="shared" si="28"/>
        <v>0</v>
      </c>
      <c r="R88" s="31">
        <f t="shared" si="28"/>
        <v>0</v>
      </c>
      <c r="S88" s="31">
        <f t="shared" si="28"/>
        <v>0</v>
      </c>
      <c r="T88" s="31">
        <f t="shared" si="28"/>
        <v>180000</v>
      </c>
    </row>
    <row r="89" spans="2:21" ht="15.75" customHeight="1" outlineLevel="1" x14ac:dyDescent="0.25">
      <c r="B89" s="9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2:21" ht="15.75" customHeight="1" outlineLevel="1" x14ac:dyDescent="0.3">
      <c r="B90" s="98" t="s">
        <v>83</v>
      </c>
      <c r="C90" s="13"/>
      <c r="D90" s="25" t="s">
        <v>52</v>
      </c>
      <c r="E90" s="25" t="s">
        <v>53</v>
      </c>
      <c r="F90" s="25" t="s">
        <v>54</v>
      </c>
      <c r="G90" s="25" t="s">
        <v>55</v>
      </c>
      <c r="H90" s="25" t="s">
        <v>56</v>
      </c>
      <c r="I90" s="25" t="s">
        <v>57</v>
      </c>
      <c r="J90" s="25" t="s">
        <v>58</v>
      </c>
      <c r="K90" s="25" t="s">
        <v>59</v>
      </c>
      <c r="L90" s="25" t="s">
        <v>60</v>
      </c>
      <c r="M90" s="25" t="s">
        <v>61</v>
      </c>
      <c r="N90" s="25" t="s">
        <v>62</v>
      </c>
      <c r="O90" s="25" t="s">
        <v>63</v>
      </c>
      <c r="P90" s="25" t="s">
        <v>64</v>
      </c>
      <c r="Q90" s="25" t="s">
        <v>65</v>
      </c>
      <c r="R90" s="25" t="s">
        <v>66</v>
      </c>
      <c r="S90" s="25" t="s">
        <v>67</v>
      </c>
      <c r="T90" s="25" t="s">
        <v>68</v>
      </c>
    </row>
    <row r="91" spans="2:21" ht="15.75" customHeight="1" outlineLevel="1" x14ac:dyDescent="0.25">
      <c r="B91" s="9" t="s">
        <v>69</v>
      </c>
      <c r="C91" s="13" t="s">
        <v>45</v>
      </c>
      <c r="D91" s="87">
        <v>0</v>
      </c>
      <c r="E91" s="87">
        <v>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87">
        <v>0</v>
      </c>
      <c r="T91" s="87">
        <v>1</v>
      </c>
      <c r="U91" s="85" t="s">
        <v>84</v>
      </c>
    </row>
    <row r="92" spans="2:21" ht="15.75" customHeight="1" outlineLevel="2" x14ac:dyDescent="0.25">
      <c r="B92" s="99" t="s">
        <v>85</v>
      </c>
      <c r="C92" s="13" t="s">
        <v>86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6">
        <v>10</v>
      </c>
      <c r="U92" s="85" t="s">
        <v>87</v>
      </c>
    </row>
    <row r="93" spans="2:21" ht="15.75" customHeight="1" outlineLevel="2" x14ac:dyDescent="0.25">
      <c r="B93" s="9" t="s">
        <v>88</v>
      </c>
      <c r="C93" s="13" t="s">
        <v>89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75000</v>
      </c>
      <c r="U93" s="85" t="s">
        <v>90</v>
      </c>
    </row>
    <row r="94" spans="2:21" ht="12.5" outlineLevel="2" x14ac:dyDescent="0.25">
      <c r="B94" s="99" t="s">
        <v>91</v>
      </c>
      <c r="C94" s="29" t="s">
        <v>45</v>
      </c>
      <c r="D94" s="87">
        <v>0</v>
      </c>
      <c r="E94" s="87">
        <v>0</v>
      </c>
      <c r="F94" s="87">
        <v>0</v>
      </c>
      <c r="G94" s="87">
        <v>0</v>
      </c>
      <c r="H94" s="87">
        <v>0</v>
      </c>
      <c r="I94" s="87">
        <v>0</v>
      </c>
      <c r="J94" s="87">
        <v>0</v>
      </c>
      <c r="K94" s="87">
        <v>0</v>
      </c>
      <c r="L94" s="87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87">
        <v>0</v>
      </c>
      <c r="T94" s="87">
        <v>0.2</v>
      </c>
      <c r="U94" s="89" t="s">
        <v>92</v>
      </c>
    </row>
    <row r="95" spans="2:21" ht="15.75" customHeight="1" outlineLevel="2" x14ac:dyDescent="0.25">
      <c r="B95" s="102" t="s">
        <v>93</v>
      </c>
      <c r="C95" s="13" t="s">
        <v>94</v>
      </c>
      <c r="D95" s="30">
        <f t="shared" ref="D95:T95" si="29">D92*D93*D94</f>
        <v>0</v>
      </c>
      <c r="E95" s="30">
        <f t="shared" si="29"/>
        <v>0</v>
      </c>
      <c r="F95" s="30">
        <f t="shared" si="29"/>
        <v>0</v>
      </c>
      <c r="G95" s="30">
        <f t="shared" si="29"/>
        <v>0</v>
      </c>
      <c r="H95" s="30">
        <f t="shared" si="29"/>
        <v>0</v>
      </c>
      <c r="I95" s="30">
        <f t="shared" si="29"/>
        <v>0</v>
      </c>
      <c r="J95" s="30">
        <f t="shared" si="29"/>
        <v>0</v>
      </c>
      <c r="K95" s="30">
        <f t="shared" si="29"/>
        <v>0</v>
      </c>
      <c r="L95" s="30">
        <f t="shared" si="29"/>
        <v>0</v>
      </c>
      <c r="M95" s="30">
        <f t="shared" si="29"/>
        <v>0</v>
      </c>
      <c r="N95" s="30">
        <f t="shared" si="29"/>
        <v>0</v>
      </c>
      <c r="O95" s="30">
        <f t="shared" si="29"/>
        <v>0</v>
      </c>
      <c r="P95" s="30">
        <f t="shared" si="29"/>
        <v>0</v>
      </c>
      <c r="Q95" s="30">
        <f t="shared" si="29"/>
        <v>0</v>
      </c>
      <c r="R95" s="30">
        <f t="shared" si="29"/>
        <v>0</v>
      </c>
      <c r="S95" s="30">
        <f t="shared" si="29"/>
        <v>0</v>
      </c>
      <c r="T95" s="36">
        <f t="shared" si="29"/>
        <v>150000</v>
      </c>
    </row>
    <row r="96" spans="2:21" ht="12.5" outlineLevel="2" x14ac:dyDescent="0.25">
      <c r="B96" s="99" t="s">
        <v>95</v>
      </c>
      <c r="C96" s="13" t="s">
        <v>96</v>
      </c>
      <c r="D96" s="87">
        <v>0</v>
      </c>
      <c r="E96" s="87">
        <v>0</v>
      </c>
      <c r="F96" s="87">
        <v>0</v>
      </c>
      <c r="G96" s="87">
        <v>0</v>
      </c>
      <c r="H96" s="87">
        <v>0</v>
      </c>
      <c r="I96" s="87">
        <v>0</v>
      </c>
      <c r="J96" s="87">
        <v>0</v>
      </c>
      <c r="K96" s="87">
        <v>0</v>
      </c>
      <c r="L96" s="87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0.1</v>
      </c>
      <c r="R96" s="87">
        <v>0.1</v>
      </c>
      <c r="S96" s="87">
        <v>0.1</v>
      </c>
      <c r="T96" s="87">
        <v>0.1</v>
      </c>
      <c r="U96" s="26" t="s">
        <v>97</v>
      </c>
    </row>
    <row r="97" spans="1:41" ht="15.75" customHeight="1" outlineLevel="2" x14ac:dyDescent="0.25">
      <c r="B97" s="9" t="s">
        <v>98</v>
      </c>
      <c r="C97" s="13" t="s">
        <v>99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9</v>
      </c>
      <c r="R97" s="30">
        <v>9</v>
      </c>
      <c r="S97" s="30">
        <v>9</v>
      </c>
      <c r="T97" s="30">
        <v>36</v>
      </c>
      <c r="U97" s="85" t="s">
        <v>80</v>
      </c>
    </row>
    <row r="98" spans="1:41" ht="15.75" customHeight="1" outlineLevel="2" x14ac:dyDescent="0.25">
      <c r="B98" s="9" t="s">
        <v>81</v>
      </c>
      <c r="C98" s="88" t="s">
        <v>82</v>
      </c>
      <c r="D98" s="31">
        <f t="shared" ref="D98:T98" si="30">+PRODUCT(D95:D97)</f>
        <v>0</v>
      </c>
      <c r="E98" s="31">
        <f t="shared" si="30"/>
        <v>0</v>
      </c>
      <c r="F98" s="31">
        <f t="shared" si="30"/>
        <v>0</v>
      </c>
      <c r="G98" s="31">
        <f t="shared" si="30"/>
        <v>0</v>
      </c>
      <c r="H98" s="31">
        <f t="shared" si="30"/>
        <v>0</v>
      </c>
      <c r="I98" s="31">
        <f t="shared" si="30"/>
        <v>0</v>
      </c>
      <c r="J98" s="31">
        <f t="shared" si="30"/>
        <v>0</v>
      </c>
      <c r="K98" s="31">
        <f t="shared" si="30"/>
        <v>0</v>
      </c>
      <c r="L98" s="31">
        <f t="shared" si="30"/>
        <v>0</v>
      </c>
      <c r="M98" s="31">
        <f t="shared" si="30"/>
        <v>0</v>
      </c>
      <c r="N98" s="31">
        <f t="shared" si="30"/>
        <v>0</v>
      </c>
      <c r="O98" s="31">
        <f t="shared" si="30"/>
        <v>0</v>
      </c>
      <c r="P98" s="31">
        <f t="shared" si="30"/>
        <v>0</v>
      </c>
      <c r="Q98" s="31">
        <f t="shared" si="30"/>
        <v>0</v>
      </c>
      <c r="R98" s="31">
        <f t="shared" si="30"/>
        <v>0</v>
      </c>
      <c r="S98" s="31">
        <f t="shared" si="30"/>
        <v>0</v>
      </c>
      <c r="T98" s="31">
        <f t="shared" si="30"/>
        <v>540000</v>
      </c>
    </row>
    <row r="99" spans="1:41" ht="15.75" customHeight="1" outlineLevel="1" x14ac:dyDescent="0.25">
      <c r="B99" s="9"/>
    </row>
    <row r="100" spans="1:41" ht="20" outlineLevel="1" x14ac:dyDescent="0.4">
      <c r="B100" s="100" t="s">
        <v>100</v>
      </c>
      <c r="D100" s="25" t="s">
        <v>52</v>
      </c>
      <c r="E100" s="25" t="s">
        <v>53</v>
      </c>
      <c r="F100" s="25" t="s">
        <v>54</v>
      </c>
      <c r="G100" s="25" t="s">
        <v>55</v>
      </c>
      <c r="H100" s="25" t="s">
        <v>56</v>
      </c>
      <c r="I100" s="25" t="s">
        <v>57</v>
      </c>
      <c r="J100" s="25" t="s">
        <v>58</v>
      </c>
      <c r="K100" s="25" t="s">
        <v>59</v>
      </c>
      <c r="L100" s="25" t="s">
        <v>60</v>
      </c>
      <c r="M100" s="25" t="s">
        <v>61</v>
      </c>
      <c r="N100" s="25" t="s">
        <v>62</v>
      </c>
      <c r="O100" s="25" t="s">
        <v>63</v>
      </c>
      <c r="P100" s="25" t="s">
        <v>64</v>
      </c>
      <c r="Q100" s="25" t="s">
        <v>65</v>
      </c>
      <c r="R100" s="25" t="s">
        <v>66</v>
      </c>
      <c r="S100" s="25" t="s">
        <v>67</v>
      </c>
      <c r="T100" s="25" t="s">
        <v>68</v>
      </c>
    </row>
    <row r="101" spans="1:41" ht="15.75" customHeight="1" outlineLevel="1" x14ac:dyDescent="0.25">
      <c r="B101" s="9" t="s">
        <v>101</v>
      </c>
      <c r="C101" s="13" t="s">
        <v>102</v>
      </c>
      <c r="D101" s="35">
        <f t="shared" ref="D101:T101" si="31">(D86*D84)+D95</f>
        <v>0</v>
      </c>
      <c r="E101" s="35">
        <f t="shared" si="31"/>
        <v>0</v>
      </c>
      <c r="F101" s="35">
        <f t="shared" si="31"/>
        <v>0</v>
      </c>
      <c r="G101" s="35">
        <f t="shared" si="31"/>
        <v>0</v>
      </c>
      <c r="H101" s="35">
        <f t="shared" si="31"/>
        <v>0</v>
      </c>
      <c r="I101" s="35">
        <f t="shared" si="31"/>
        <v>0</v>
      </c>
      <c r="J101" s="35">
        <f t="shared" si="31"/>
        <v>0</v>
      </c>
      <c r="K101" s="35">
        <f t="shared" si="31"/>
        <v>0</v>
      </c>
      <c r="L101" s="35">
        <f t="shared" si="31"/>
        <v>0</v>
      </c>
      <c r="M101" s="35">
        <f t="shared" si="31"/>
        <v>0</v>
      </c>
      <c r="N101" s="35">
        <f t="shared" si="31"/>
        <v>0</v>
      </c>
      <c r="O101" s="35">
        <f t="shared" si="31"/>
        <v>0</v>
      </c>
      <c r="P101" s="35">
        <f t="shared" si="31"/>
        <v>0</v>
      </c>
      <c r="Q101" s="35">
        <f t="shared" si="31"/>
        <v>0</v>
      </c>
      <c r="R101" s="35">
        <f t="shared" si="31"/>
        <v>0</v>
      </c>
      <c r="S101" s="35">
        <f t="shared" si="31"/>
        <v>0</v>
      </c>
      <c r="T101" s="35">
        <f t="shared" si="31"/>
        <v>650000</v>
      </c>
      <c r="U101" s="94">
        <f>T101/1366000000</f>
        <v>4.7584187408491948E-4</v>
      </c>
      <c r="V101" s="89" t="s">
        <v>124</v>
      </c>
    </row>
    <row r="102" spans="1:41" ht="15.75" customHeight="1" outlineLevel="1" x14ac:dyDescent="0.25">
      <c r="B102" s="9" t="s">
        <v>104</v>
      </c>
      <c r="C102" s="13" t="s">
        <v>105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1</v>
      </c>
      <c r="O102" s="30">
        <v>1</v>
      </c>
      <c r="P102" s="30">
        <v>1</v>
      </c>
      <c r="Q102" s="30">
        <v>1</v>
      </c>
      <c r="R102" s="30">
        <v>2</v>
      </c>
      <c r="S102" s="30">
        <v>2</v>
      </c>
      <c r="T102" s="30">
        <v>3</v>
      </c>
    </row>
    <row r="103" spans="1:41" ht="15.75" customHeight="1" outlineLevel="2" x14ac:dyDescent="0.25">
      <c r="B103" s="9" t="s">
        <v>106</v>
      </c>
      <c r="C103" s="13" t="s">
        <v>102</v>
      </c>
      <c r="D103" s="35">
        <f t="shared" ref="D103:T103" si="32">D101*D102</f>
        <v>0</v>
      </c>
      <c r="E103" s="35">
        <f t="shared" si="32"/>
        <v>0</v>
      </c>
      <c r="F103" s="35">
        <f t="shared" si="32"/>
        <v>0</v>
      </c>
      <c r="G103" s="35">
        <f t="shared" si="32"/>
        <v>0</v>
      </c>
      <c r="H103" s="35">
        <f t="shared" si="32"/>
        <v>0</v>
      </c>
      <c r="I103" s="35">
        <f t="shared" si="32"/>
        <v>0</v>
      </c>
      <c r="J103" s="35">
        <f t="shared" si="32"/>
        <v>0</v>
      </c>
      <c r="K103" s="35">
        <f t="shared" si="32"/>
        <v>0</v>
      </c>
      <c r="L103" s="35">
        <f t="shared" si="32"/>
        <v>0</v>
      </c>
      <c r="M103" s="35">
        <f t="shared" si="32"/>
        <v>0</v>
      </c>
      <c r="N103" s="35">
        <f t="shared" si="32"/>
        <v>0</v>
      </c>
      <c r="O103" s="35">
        <f t="shared" si="32"/>
        <v>0</v>
      </c>
      <c r="P103" s="35">
        <f t="shared" si="32"/>
        <v>0</v>
      </c>
      <c r="Q103" s="35">
        <f t="shared" si="32"/>
        <v>0</v>
      </c>
      <c r="R103" s="35">
        <f t="shared" si="32"/>
        <v>0</v>
      </c>
      <c r="S103" s="35">
        <f t="shared" si="32"/>
        <v>0</v>
      </c>
      <c r="T103" s="35">
        <f t="shared" si="32"/>
        <v>1950000</v>
      </c>
    </row>
    <row r="104" spans="1:41" ht="12.5" outlineLevel="2" x14ac:dyDescent="0.25">
      <c r="B104" s="99" t="s">
        <v>107</v>
      </c>
      <c r="C104" s="13" t="s">
        <v>45</v>
      </c>
      <c r="D104" s="87">
        <v>0</v>
      </c>
      <c r="E104" s="87">
        <v>0</v>
      </c>
      <c r="F104" s="87">
        <v>0</v>
      </c>
      <c r="G104" s="87">
        <v>0</v>
      </c>
      <c r="H104" s="87">
        <v>0</v>
      </c>
      <c r="I104" s="87">
        <v>0</v>
      </c>
      <c r="J104" s="87">
        <v>0</v>
      </c>
      <c r="K104" s="87">
        <v>0</v>
      </c>
      <c r="L104" s="87">
        <v>0</v>
      </c>
      <c r="M104" s="87">
        <v>0</v>
      </c>
      <c r="N104" s="87">
        <v>0.1</v>
      </c>
      <c r="O104" s="87">
        <v>0.12</v>
      </c>
      <c r="P104" s="87">
        <v>0.15</v>
      </c>
      <c r="Q104" s="87">
        <v>0.15</v>
      </c>
      <c r="R104" s="87">
        <v>0.18</v>
      </c>
      <c r="S104" s="87">
        <v>0.18</v>
      </c>
      <c r="T104" s="87">
        <v>0.18</v>
      </c>
      <c r="U104" t="s">
        <v>108</v>
      </c>
    </row>
    <row r="105" spans="1:41" ht="15.75" customHeight="1" outlineLevel="2" x14ac:dyDescent="0.25">
      <c r="B105" s="9" t="s">
        <v>109</v>
      </c>
      <c r="C105" s="13" t="s">
        <v>110</v>
      </c>
      <c r="D105" s="35">
        <f t="shared" ref="D105:T105" si="33">D103*D104</f>
        <v>0</v>
      </c>
      <c r="E105" s="35">
        <f t="shared" si="33"/>
        <v>0</v>
      </c>
      <c r="F105" s="35">
        <f t="shared" si="33"/>
        <v>0</v>
      </c>
      <c r="G105" s="35">
        <f t="shared" si="33"/>
        <v>0</v>
      </c>
      <c r="H105" s="35">
        <f t="shared" si="33"/>
        <v>0</v>
      </c>
      <c r="I105" s="35">
        <f t="shared" si="33"/>
        <v>0</v>
      </c>
      <c r="J105" s="35">
        <f t="shared" si="33"/>
        <v>0</v>
      </c>
      <c r="K105" s="35">
        <f t="shared" si="33"/>
        <v>0</v>
      </c>
      <c r="L105" s="35">
        <f t="shared" si="33"/>
        <v>0</v>
      </c>
      <c r="M105" s="35">
        <f t="shared" si="33"/>
        <v>0</v>
      </c>
      <c r="N105" s="35">
        <f t="shared" si="33"/>
        <v>0</v>
      </c>
      <c r="O105" s="35">
        <f t="shared" si="33"/>
        <v>0</v>
      </c>
      <c r="P105" s="35">
        <f t="shared" si="33"/>
        <v>0</v>
      </c>
      <c r="Q105" s="35">
        <f t="shared" si="33"/>
        <v>0</v>
      </c>
      <c r="R105" s="35">
        <f t="shared" si="33"/>
        <v>0</v>
      </c>
      <c r="S105" s="35">
        <f t="shared" si="33"/>
        <v>0</v>
      </c>
      <c r="T105" s="35">
        <f t="shared" si="33"/>
        <v>351000</v>
      </c>
    </row>
    <row r="106" spans="1:41" ht="12.5" outlineLevel="2" x14ac:dyDescent="0.25">
      <c r="B106" s="9" t="s">
        <v>111</v>
      </c>
      <c r="C106" s="13" t="s">
        <v>82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17</v>
      </c>
      <c r="O106" s="30">
        <v>17</v>
      </c>
      <c r="P106" s="30">
        <f>$O$106*3</f>
        <v>51</v>
      </c>
      <c r="Q106" s="30">
        <f t="shared" ref="Q106:S106" si="34">$O$106*3</f>
        <v>51</v>
      </c>
      <c r="R106" s="30">
        <f t="shared" si="34"/>
        <v>51</v>
      </c>
      <c r="S106" s="30">
        <f t="shared" si="34"/>
        <v>51</v>
      </c>
      <c r="T106" s="30">
        <f>$O$106*12</f>
        <v>204</v>
      </c>
      <c r="U106" s="89" t="s">
        <v>125</v>
      </c>
    </row>
    <row r="107" spans="1:41" ht="15.75" customHeight="1" outlineLevel="2" x14ac:dyDescent="0.25">
      <c r="B107" s="9" t="s">
        <v>113</v>
      </c>
      <c r="C107" s="13" t="s">
        <v>45</v>
      </c>
      <c r="D107" s="87">
        <v>0</v>
      </c>
      <c r="E107" s="87">
        <v>0</v>
      </c>
      <c r="F107" s="87">
        <v>0</v>
      </c>
      <c r="G107" s="87">
        <v>0</v>
      </c>
      <c r="H107" s="87">
        <v>0</v>
      </c>
      <c r="I107" s="87">
        <v>0</v>
      </c>
      <c r="J107" s="87">
        <v>0</v>
      </c>
      <c r="K107" s="87">
        <v>0</v>
      </c>
      <c r="L107" s="87">
        <v>0</v>
      </c>
      <c r="M107" s="87">
        <v>0</v>
      </c>
      <c r="N107" s="87">
        <v>1</v>
      </c>
      <c r="O107" s="87">
        <v>1</v>
      </c>
      <c r="P107" s="87">
        <v>1</v>
      </c>
      <c r="Q107" s="87">
        <v>1</v>
      </c>
      <c r="R107" s="87">
        <v>1</v>
      </c>
      <c r="S107" s="87">
        <v>1</v>
      </c>
      <c r="T107" s="87">
        <v>1</v>
      </c>
      <c r="U107" s="89" t="s">
        <v>116</v>
      </c>
    </row>
    <row r="108" spans="1:41" ht="15.75" customHeight="1" outlineLevel="2" x14ac:dyDescent="0.25">
      <c r="B108" s="9" t="s">
        <v>115</v>
      </c>
      <c r="C108" s="13" t="s">
        <v>45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v>0</v>
      </c>
      <c r="L108" s="87">
        <v>0</v>
      </c>
      <c r="M108" s="87">
        <v>0</v>
      </c>
      <c r="N108" s="87">
        <v>0.03</v>
      </c>
      <c r="O108" s="87">
        <v>0.03</v>
      </c>
      <c r="P108" s="87">
        <v>0.03</v>
      </c>
      <c r="Q108" s="87">
        <v>0.03</v>
      </c>
      <c r="R108" s="87">
        <v>0.03</v>
      </c>
      <c r="S108" s="87">
        <v>0.03</v>
      </c>
      <c r="T108" s="87">
        <v>0.03</v>
      </c>
      <c r="U108" s="89" t="s">
        <v>116</v>
      </c>
    </row>
    <row r="109" spans="1:41" ht="15.75" customHeight="1" outlineLevel="2" x14ac:dyDescent="0.25">
      <c r="B109" s="9" t="s">
        <v>117</v>
      </c>
      <c r="C109" s="13" t="s">
        <v>82</v>
      </c>
      <c r="D109" s="31">
        <f t="shared" ref="D109:T109" si="35">+PRODUCT(D105:D108)</f>
        <v>0</v>
      </c>
      <c r="E109" s="31">
        <f t="shared" si="35"/>
        <v>0</v>
      </c>
      <c r="F109" s="31">
        <f t="shared" si="35"/>
        <v>0</v>
      </c>
      <c r="G109" s="31">
        <f t="shared" si="35"/>
        <v>0</v>
      </c>
      <c r="H109" s="31">
        <f t="shared" si="35"/>
        <v>0</v>
      </c>
      <c r="I109" s="31">
        <f t="shared" si="35"/>
        <v>0</v>
      </c>
      <c r="J109" s="31">
        <f t="shared" si="35"/>
        <v>0</v>
      </c>
      <c r="K109" s="31">
        <f t="shared" si="35"/>
        <v>0</v>
      </c>
      <c r="L109" s="31">
        <f t="shared" si="35"/>
        <v>0</v>
      </c>
      <c r="M109" s="31">
        <f t="shared" si="35"/>
        <v>0</v>
      </c>
      <c r="N109" s="31">
        <f t="shared" si="35"/>
        <v>0</v>
      </c>
      <c r="O109" s="31">
        <f t="shared" si="35"/>
        <v>0</v>
      </c>
      <c r="P109" s="31">
        <f t="shared" si="35"/>
        <v>0</v>
      </c>
      <c r="Q109" s="31">
        <f t="shared" si="35"/>
        <v>0</v>
      </c>
      <c r="R109" s="31">
        <f t="shared" si="35"/>
        <v>0</v>
      </c>
      <c r="S109" s="31">
        <f t="shared" si="35"/>
        <v>0</v>
      </c>
      <c r="T109" s="31">
        <f t="shared" si="35"/>
        <v>2148120</v>
      </c>
    </row>
    <row r="110" spans="1:41" ht="15.75" customHeight="1" outlineLevel="2" x14ac:dyDescent="0.25">
      <c r="B110" s="9"/>
      <c r="C110" s="13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</row>
    <row r="111" spans="1:41" ht="15.75" customHeight="1" x14ac:dyDescent="0.4">
      <c r="A111" s="18"/>
      <c r="B111" s="107" t="s">
        <v>126</v>
      </c>
      <c r="C111" s="116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spans="1:41" ht="15.75" customHeight="1" outlineLevel="1" x14ac:dyDescent="0.25">
      <c r="C112" s="13"/>
    </row>
    <row r="113" spans="2:21" ht="15.75" customHeight="1" outlineLevel="1" x14ac:dyDescent="0.3">
      <c r="B113" s="98" t="s">
        <v>127</v>
      </c>
      <c r="C113" s="13"/>
      <c r="D113" s="25" t="s">
        <v>52</v>
      </c>
      <c r="E113" s="25" t="s">
        <v>53</v>
      </c>
      <c r="F113" s="25" t="s">
        <v>54</v>
      </c>
      <c r="G113" s="25" t="s">
        <v>55</v>
      </c>
      <c r="H113" s="25" t="s">
        <v>56</v>
      </c>
      <c r="I113" s="25" t="s">
        <v>57</v>
      </c>
      <c r="J113" s="37" t="s">
        <v>58</v>
      </c>
      <c r="K113" s="25" t="s">
        <v>59</v>
      </c>
      <c r="L113" s="25" t="s">
        <v>60</v>
      </c>
      <c r="M113" s="25" t="s">
        <v>61</v>
      </c>
      <c r="N113" s="25" t="s">
        <v>62</v>
      </c>
      <c r="O113" s="25" t="s">
        <v>63</v>
      </c>
      <c r="P113" s="25" t="s">
        <v>64</v>
      </c>
      <c r="Q113" s="25" t="s">
        <v>65</v>
      </c>
      <c r="R113" s="25" t="s">
        <v>66</v>
      </c>
      <c r="S113" s="25" t="s">
        <v>67</v>
      </c>
      <c r="T113" s="25" t="s">
        <v>68</v>
      </c>
    </row>
    <row r="114" spans="2:21" ht="12.5" outlineLevel="2" x14ac:dyDescent="0.25">
      <c r="B114" s="9" t="s">
        <v>128</v>
      </c>
      <c r="C114" s="13" t="s">
        <v>45</v>
      </c>
      <c r="D114" s="92">
        <v>0.33333333333333331</v>
      </c>
      <c r="E114" s="92">
        <v>0.33333333333333331</v>
      </c>
      <c r="F114" s="92">
        <v>0.33333333333333331</v>
      </c>
      <c r="G114" s="92">
        <v>0.33333333333333331</v>
      </c>
      <c r="H114" s="92">
        <v>0.33333333333333331</v>
      </c>
      <c r="I114" s="92">
        <v>0.33333333333333331</v>
      </c>
      <c r="J114" s="92">
        <v>0.33333333333333331</v>
      </c>
      <c r="K114" s="92">
        <v>0.33333333333333331</v>
      </c>
      <c r="L114" s="92">
        <v>0.33333333333333331</v>
      </c>
      <c r="M114" s="92">
        <v>0.33333333333333331</v>
      </c>
      <c r="N114" s="92">
        <v>0.33333333333333331</v>
      </c>
      <c r="O114" s="92">
        <v>0.33333333333333331</v>
      </c>
      <c r="P114" s="92">
        <v>0.33333333333333331</v>
      </c>
      <c r="Q114" s="92">
        <v>0.33333333333333331</v>
      </c>
      <c r="R114" s="92">
        <v>0.33333333333333331</v>
      </c>
      <c r="S114" s="92">
        <v>0.33333333333333331</v>
      </c>
      <c r="T114" s="92">
        <v>0.33333333333333331</v>
      </c>
      <c r="U114" s="89" t="s">
        <v>116</v>
      </c>
    </row>
    <row r="115" spans="2:21" ht="12.5" outlineLevel="2" x14ac:dyDescent="0.25">
      <c r="B115" s="9" t="s">
        <v>128</v>
      </c>
      <c r="C115" s="13" t="s">
        <v>82</v>
      </c>
      <c r="D115" s="39">
        <f>D45*D114</f>
        <v>0</v>
      </c>
      <c r="E115" s="39">
        <f t="shared" ref="E115:S115" si="36">E45*E114</f>
        <v>0</v>
      </c>
      <c r="F115" s="39">
        <f t="shared" si="36"/>
        <v>0</v>
      </c>
      <c r="G115" s="39">
        <f t="shared" si="36"/>
        <v>0</v>
      </c>
      <c r="H115" s="39">
        <f t="shared" si="36"/>
        <v>0</v>
      </c>
      <c r="I115" s="39">
        <f t="shared" si="36"/>
        <v>0</v>
      </c>
      <c r="J115" s="39">
        <f t="shared" si="36"/>
        <v>0</v>
      </c>
      <c r="K115" s="39">
        <f t="shared" si="36"/>
        <v>0</v>
      </c>
      <c r="L115" s="39">
        <f t="shared" si="36"/>
        <v>0</v>
      </c>
      <c r="M115" s="39">
        <f t="shared" si="36"/>
        <v>0</v>
      </c>
      <c r="N115" s="39">
        <f t="shared" si="36"/>
        <v>0</v>
      </c>
      <c r="O115" s="39">
        <f t="shared" si="36"/>
        <v>1160.6740136718749</v>
      </c>
      <c r="P115" s="39">
        <f>P45*P114</f>
        <v>15148.31174121093</v>
      </c>
      <c r="Q115" s="39">
        <f t="shared" si="36"/>
        <v>39437.466440607757</v>
      </c>
      <c r="R115" s="39">
        <f t="shared" si="36"/>
        <v>79404.819461742329</v>
      </c>
      <c r="S115" s="39">
        <f t="shared" si="36"/>
        <v>139487.95481055553</v>
      </c>
      <c r="T115" s="39">
        <f>T45*T114</f>
        <v>2616189.1613323092</v>
      </c>
    </row>
    <row r="116" spans="2:21" ht="12.5" outlineLevel="2" x14ac:dyDescent="0.25">
      <c r="B116" s="9" t="s">
        <v>129</v>
      </c>
      <c r="C116" s="13" t="s">
        <v>45</v>
      </c>
      <c r="D116" s="92">
        <v>0.33333333333333331</v>
      </c>
      <c r="E116" s="92">
        <v>0.33333333333333331</v>
      </c>
      <c r="F116" s="92">
        <v>0.33333333333333331</v>
      </c>
      <c r="G116" s="92">
        <v>0.33333333333333331</v>
      </c>
      <c r="H116" s="92">
        <v>0.33333333333333331</v>
      </c>
      <c r="I116" s="92">
        <v>0.33333333333333331</v>
      </c>
      <c r="J116" s="92">
        <v>0.33333333333333331</v>
      </c>
      <c r="K116" s="92">
        <v>0.33333333333333331</v>
      </c>
      <c r="L116" s="92">
        <v>0.33333333333333331</v>
      </c>
      <c r="M116" s="92">
        <v>0.33333333333333331</v>
      </c>
      <c r="N116" s="92">
        <v>0.33333333333333331</v>
      </c>
      <c r="O116" s="92">
        <v>0.33333333333333331</v>
      </c>
      <c r="P116" s="92">
        <v>0.33333333333333331</v>
      </c>
      <c r="Q116" s="92">
        <v>0.33333333333333331</v>
      </c>
      <c r="R116" s="92">
        <v>0.33333333333333331</v>
      </c>
      <c r="S116" s="92">
        <v>0.33333333333333331</v>
      </c>
      <c r="T116" s="92">
        <v>0.33333333333333331</v>
      </c>
      <c r="U116" s="89" t="s">
        <v>116</v>
      </c>
    </row>
    <row r="117" spans="2:21" ht="12.5" outlineLevel="2" x14ac:dyDescent="0.25">
      <c r="B117" s="9" t="s">
        <v>129</v>
      </c>
      <c r="C117" s="13" t="s">
        <v>82</v>
      </c>
      <c r="D117" s="39">
        <f t="shared" ref="D117:T117" si="37">D45*D116</f>
        <v>0</v>
      </c>
      <c r="E117" s="39">
        <f t="shared" si="37"/>
        <v>0</v>
      </c>
      <c r="F117" s="39">
        <f t="shared" si="37"/>
        <v>0</v>
      </c>
      <c r="G117" s="39">
        <f t="shared" si="37"/>
        <v>0</v>
      </c>
      <c r="H117" s="39">
        <f t="shared" si="37"/>
        <v>0</v>
      </c>
      <c r="I117" s="39">
        <f t="shared" si="37"/>
        <v>0</v>
      </c>
      <c r="J117" s="39">
        <f t="shared" si="37"/>
        <v>0</v>
      </c>
      <c r="K117" s="39">
        <f t="shared" si="37"/>
        <v>0</v>
      </c>
      <c r="L117" s="39">
        <f t="shared" si="37"/>
        <v>0</v>
      </c>
      <c r="M117" s="39">
        <f t="shared" si="37"/>
        <v>0</v>
      </c>
      <c r="N117" s="39">
        <f t="shared" si="37"/>
        <v>0</v>
      </c>
      <c r="O117" s="39">
        <f t="shared" si="37"/>
        <v>1160.6740136718749</v>
      </c>
      <c r="P117" s="39">
        <f t="shared" si="37"/>
        <v>15148.31174121093</v>
      </c>
      <c r="Q117" s="39">
        <f t="shared" si="37"/>
        <v>39437.466440607757</v>
      </c>
      <c r="R117" s="39">
        <f t="shared" si="37"/>
        <v>79404.819461742329</v>
      </c>
      <c r="S117" s="39">
        <f t="shared" si="37"/>
        <v>139487.95481055553</v>
      </c>
      <c r="T117" s="39">
        <f t="shared" si="37"/>
        <v>2616189.1613323092</v>
      </c>
    </row>
    <row r="118" spans="2:21" ht="15.75" customHeight="1" outlineLevel="1" x14ac:dyDescent="0.3">
      <c r="B118" s="98"/>
      <c r="C118" s="13"/>
    </row>
    <row r="119" spans="2:21" ht="15.75" customHeight="1" outlineLevel="1" x14ac:dyDescent="0.25">
      <c r="C119" s="13"/>
    </row>
    <row r="120" spans="2:21" ht="15.75" customHeight="1" outlineLevel="1" x14ac:dyDescent="0.3">
      <c r="B120" s="98" t="s">
        <v>130</v>
      </c>
      <c r="C120" s="13"/>
      <c r="D120" s="25" t="s">
        <v>52</v>
      </c>
      <c r="E120" s="25" t="s">
        <v>53</v>
      </c>
      <c r="F120" s="25" t="s">
        <v>54</v>
      </c>
      <c r="G120" s="25" t="s">
        <v>55</v>
      </c>
      <c r="H120" s="25" t="s">
        <v>56</v>
      </c>
      <c r="I120" s="25" t="s">
        <v>57</v>
      </c>
      <c r="J120" s="25" t="s">
        <v>58</v>
      </c>
      <c r="K120" s="25" t="s">
        <v>59</v>
      </c>
      <c r="L120" s="25" t="s">
        <v>60</v>
      </c>
      <c r="M120" s="25" t="s">
        <v>61</v>
      </c>
      <c r="N120" s="25" t="s">
        <v>62</v>
      </c>
      <c r="O120" s="25" t="s">
        <v>63</v>
      </c>
      <c r="P120" s="25" t="s">
        <v>64</v>
      </c>
      <c r="Q120" s="25" t="s">
        <v>65</v>
      </c>
      <c r="R120" s="25" t="s">
        <v>66</v>
      </c>
      <c r="S120" s="25" t="s">
        <v>67</v>
      </c>
      <c r="T120" s="25" t="s">
        <v>68</v>
      </c>
    </row>
    <row r="121" spans="2:21" ht="15.75" customHeight="1" outlineLevel="2" x14ac:dyDescent="0.25">
      <c r="B121" s="101" t="s">
        <v>131</v>
      </c>
      <c r="C121" s="13" t="s">
        <v>82</v>
      </c>
      <c r="D121" s="30">
        <v>3000</v>
      </c>
      <c r="E121" s="30">
        <v>3000</v>
      </c>
      <c r="F121" s="30">
        <v>3000</v>
      </c>
      <c r="G121" s="30">
        <v>3000</v>
      </c>
      <c r="H121" s="30">
        <v>3000</v>
      </c>
      <c r="I121" s="30">
        <v>3000</v>
      </c>
      <c r="J121" s="30">
        <v>3000</v>
      </c>
      <c r="K121" s="30">
        <v>3000</v>
      </c>
      <c r="L121" s="30">
        <v>3000</v>
      </c>
      <c r="M121" s="30">
        <v>3000</v>
      </c>
      <c r="N121" s="30">
        <v>3000</v>
      </c>
      <c r="O121" s="30">
        <v>3000</v>
      </c>
      <c r="P121" s="36">
        <f>O121*3</f>
        <v>9000</v>
      </c>
      <c r="Q121" s="36">
        <f>O121*3</f>
        <v>9000</v>
      </c>
      <c r="R121" s="36">
        <f>O121*3</f>
        <v>9000</v>
      </c>
      <c r="S121" s="36">
        <f>O121*3</f>
        <v>9000</v>
      </c>
      <c r="T121" s="36">
        <f>O121*12</f>
        <v>36000</v>
      </c>
      <c r="U121" s="15" t="s">
        <v>132</v>
      </c>
    </row>
    <row r="122" spans="2:21" ht="15.75" customHeight="1" outlineLevel="1" x14ac:dyDescent="0.25">
      <c r="C122" s="13"/>
    </row>
    <row r="123" spans="2:21" ht="15.75" customHeight="1" outlineLevel="1" x14ac:dyDescent="0.25">
      <c r="C123" s="13"/>
      <c r="U123" s="18"/>
    </row>
    <row r="124" spans="2:21" ht="15.75" customHeight="1" outlineLevel="2" x14ac:dyDescent="0.3">
      <c r="B124" s="98" t="s">
        <v>133</v>
      </c>
      <c r="C124" s="13"/>
      <c r="D124" s="25" t="s">
        <v>52</v>
      </c>
      <c r="E124" s="25" t="s">
        <v>53</v>
      </c>
      <c r="F124" s="25" t="s">
        <v>54</v>
      </c>
      <c r="G124" s="25" t="s">
        <v>55</v>
      </c>
      <c r="H124" s="25" t="s">
        <v>56</v>
      </c>
      <c r="I124" s="25" t="s">
        <v>57</v>
      </c>
      <c r="J124" s="25" t="s">
        <v>58</v>
      </c>
      <c r="K124" s="25" t="s">
        <v>59</v>
      </c>
      <c r="L124" s="25" t="s">
        <v>60</v>
      </c>
      <c r="M124" s="25" t="s">
        <v>61</v>
      </c>
      <c r="N124" s="25" t="s">
        <v>62</v>
      </c>
      <c r="O124" s="25" t="s">
        <v>63</v>
      </c>
      <c r="P124" s="25" t="s">
        <v>64</v>
      </c>
      <c r="Q124" s="25" t="s">
        <v>65</v>
      </c>
      <c r="R124" s="25" t="s">
        <v>66</v>
      </c>
      <c r="S124" s="25" t="s">
        <v>67</v>
      </c>
      <c r="T124" s="25" t="s">
        <v>68</v>
      </c>
    </row>
    <row r="125" spans="2:21" ht="15.75" customHeight="1" outlineLevel="2" x14ac:dyDescent="0.25">
      <c r="B125" s="102" t="s">
        <v>134</v>
      </c>
      <c r="C125" s="13" t="s">
        <v>82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6">
        <f>L125*3</f>
        <v>0</v>
      </c>
      <c r="Q125" s="36">
        <f>L125*3</f>
        <v>0</v>
      </c>
      <c r="R125" s="36">
        <f>L125*3</f>
        <v>0</v>
      </c>
      <c r="S125" s="36">
        <f>L125*3</f>
        <v>0</v>
      </c>
      <c r="T125" s="36">
        <f>L125*12</f>
        <v>0</v>
      </c>
      <c r="U125" s="89" t="s">
        <v>135</v>
      </c>
    </row>
    <row r="126" spans="2:21" ht="15.75" customHeight="1" outlineLevel="2" x14ac:dyDescent="0.25">
      <c r="B126" s="101" t="s">
        <v>136</v>
      </c>
      <c r="C126" s="13" t="s">
        <v>82</v>
      </c>
      <c r="D126" s="40">
        <v>0</v>
      </c>
      <c r="E126" s="40">
        <f t="shared" ref="E126:O126" si="38">500*3</f>
        <v>1500</v>
      </c>
      <c r="F126" s="40">
        <f t="shared" si="38"/>
        <v>1500</v>
      </c>
      <c r="G126" s="40">
        <f t="shared" si="38"/>
        <v>1500</v>
      </c>
      <c r="H126" s="40">
        <f t="shared" si="38"/>
        <v>1500</v>
      </c>
      <c r="I126" s="40">
        <f t="shared" si="38"/>
        <v>1500</v>
      </c>
      <c r="J126" s="40">
        <f t="shared" si="38"/>
        <v>1500</v>
      </c>
      <c r="K126" s="40">
        <f t="shared" si="38"/>
        <v>1500</v>
      </c>
      <c r="L126" s="40">
        <f t="shared" si="38"/>
        <v>1500</v>
      </c>
      <c r="M126" s="40">
        <f t="shared" si="38"/>
        <v>1500</v>
      </c>
      <c r="N126" s="40">
        <f t="shared" si="38"/>
        <v>1500</v>
      </c>
      <c r="O126" s="40">
        <f t="shared" si="38"/>
        <v>1500</v>
      </c>
      <c r="P126" s="40">
        <f>O126*3</f>
        <v>4500</v>
      </c>
      <c r="Q126" s="40">
        <f>O126*3</f>
        <v>4500</v>
      </c>
      <c r="R126" s="40">
        <f>O126*3</f>
        <v>4500</v>
      </c>
      <c r="S126" s="40">
        <f>O126*3</f>
        <v>4500</v>
      </c>
      <c r="T126" s="40">
        <f t="shared" ref="T126" si="39">O126*12</f>
        <v>18000</v>
      </c>
      <c r="U126" s="89" t="s">
        <v>137</v>
      </c>
    </row>
    <row r="127" spans="2:21" ht="15.75" customHeight="1" outlineLevel="1" x14ac:dyDescent="0.25">
      <c r="C127" s="13"/>
    </row>
    <row r="128" spans="2:21" ht="15.75" customHeight="1" outlineLevel="1" x14ac:dyDescent="0.3">
      <c r="B128" s="98" t="s">
        <v>138</v>
      </c>
      <c r="C128" s="13"/>
      <c r="D128" s="25" t="s">
        <v>52</v>
      </c>
      <c r="E128" s="25" t="s">
        <v>53</v>
      </c>
      <c r="F128" s="25" t="s">
        <v>54</v>
      </c>
      <c r="G128" s="25" t="s">
        <v>55</v>
      </c>
      <c r="H128" s="25" t="s">
        <v>56</v>
      </c>
      <c r="I128" s="25" t="s">
        <v>57</v>
      </c>
      <c r="J128" s="25" t="s">
        <v>58</v>
      </c>
      <c r="K128" s="25" t="s">
        <v>59</v>
      </c>
      <c r="L128" s="25" t="s">
        <v>60</v>
      </c>
      <c r="M128" s="25" t="s">
        <v>61</v>
      </c>
      <c r="N128" s="25" t="s">
        <v>62</v>
      </c>
      <c r="O128" s="25" t="s">
        <v>63</v>
      </c>
      <c r="P128" s="25" t="s">
        <v>64</v>
      </c>
      <c r="Q128" s="25" t="s">
        <v>65</v>
      </c>
      <c r="R128" s="25" t="s">
        <v>66</v>
      </c>
      <c r="S128" s="25" t="s">
        <v>67</v>
      </c>
      <c r="T128" s="25" t="s">
        <v>68</v>
      </c>
    </row>
    <row r="129" spans="2:21" ht="15.75" customHeight="1" outlineLevel="2" x14ac:dyDescent="0.25">
      <c r="B129" s="102" t="s">
        <v>139</v>
      </c>
      <c r="C129" s="13" t="s">
        <v>82</v>
      </c>
      <c r="D129" s="30">
        <v>1000</v>
      </c>
      <c r="E129" s="30">
        <v>1000</v>
      </c>
      <c r="F129" s="30">
        <v>1000</v>
      </c>
      <c r="G129" s="30">
        <v>1000</v>
      </c>
      <c r="H129" s="30">
        <v>1000</v>
      </c>
      <c r="I129" s="30">
        <v>1000</v>
      </c>
      <c r="J129" s="30">
        <v>1000</v>
      </c>
      <c r="K129" s="30">
        <v>1000</v>
      </c>
      <c r="L129" s="30">
        <v>1000</v>
      </c>
      <c r="M129" s="30">
        <v>1000</v>
      </c>
      <c r="N129" s="30">
        <v>1000</v>
      </c>
      <c r="O129" s="30">
        <v>1000</v>
      </c>
      <c r="P129" s="36">
        <f>O129*3</f>
        <v>3000</v>
      </c>
      <c r="Q129" s="36">
        <f>O129*3</f>
        <v>3000</v>
      </c>
      <c r="R129" s="36">
        <f>O129*3</f>
        <v>3000</v>
      </c>
      <c r="S129" s="36">
        <f>O129*3</f>
        <v>3000</v>
      </c>
      <c r="T129" s="36">
        <f>O129*12</f>
        <v>12000</v>
      </c>
      <c r="U129" s="89" t="s">
        <v>140</v>
      </c>
    </row>
    <row r="130" spans="2:21" ht="15.75" customHeight="1" outlineLevel="1" x14ac:dyDescent="0.3">
      <c r="C130" s="13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2:21" ht="15.75" customHeight="1" outlineLevel="1" x14ac:dyDescent="0.25">
      <c r="C131" s="13"/>
    </row>
    <row r="132" spans="2:21" ht="15.75" customHeight="1" outlineLevel="1" x14ac:dyDescent="0.3">
      <c r="B132" s="103" t="s">
        <v>141</v>
      </c>
      <c r="C132" s="13"/>
      <c r="D132" s="25" t="s">
        <v>52</v>
      </c>
      <c r="E132" s="25" t="s">
        <v>53</v>
      </c>
      <c r="F132" s="25" t="s">
        <v>54</v>
      </c>
      <c r="G132" s="25" t="s">
        <v>55</v>
      </c>
      <c r="H132" s="25" t="s">
        <v>56</v>
      </c>
      <c r="I132" s="25" t="s">
        <v>57</v>
      </c>
      <c r="J132" s="25" t="s">
        <v>58</v>
      </c>
      <c r="K132" s="25" t="s">
        <v>59</v>
      </c>
      <c r="L132" s="25" t="s">
        <v>60</v>
      </c>
      <c r="M132" s="25" t="s">
        <v>61</v>
      </c>
      <c r="N132" s="25" t="s">
        <v>62</v>
      </c>
      <c r="O132" s="25" t="s">
        <v>63</v>
      </c>
      <c r="P132" s="25" t="s">
        <v>64</v>
      </c>
      <c r="Q132" s="25" t="s">
        <v>65</v>
      </c>
      <c r="R132" s="25" t="s">
        <v>66</v>
      </c>
      <c r="S132" s="25" t="s">
        <v>67</v>
      </c>
      <c r="T132" s="25" t="s">
        <v>68</v>
      </c>
      <c r="U132" s="18"/>
    </row>
    <row r="133" spans="2:21" ht="15.75" customHeight="1" outlineLevel="1" x14ac:dyDescent="0.25">
      <c r="B133" s="9" t="s">
        <v>142</v>
      </c>
      <c r="C133" s="13" t="s">
        <v>82</v>
      </c>
      <c r="D133" s="95">
        <v>20000</v>
      </c>
      <c r="E133" s="95">
        <v>20000</v>
      </c>
      <c r="F133" s="95">
        <v>20000</v>
      </c>
      <c r="G133" s="95">
        <v>20000</v>
      </c>
      <c r="H133" s="95">
        <v>20000</v>
      </c>
      <c r="I133" s="95">
        <v>20000</v>
      </c>
      <c r="J133" s="95">
        <v>20000</v>
      </c>
      <c r="K133" s="95">
        <v>20000</v>
      </c>
      <c r="L133" s="95">
        <v>35000</v>
      </c>
      <c r="M133" s="95">
        <v>35000</v>
      </c>
      <c r="N133" s="95">
        <v>35000</v>
      </c>
      <c r="O133" s="95">
        <v>35000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18" t="s">
        <v>143</v>
      </c>
    </row>
    <row r="134" spans="2:21" ht="15.75" customHeight="1" outlineLevel="2" x14ac:dyDescent="0.25">
      <c r="B134" s="99" t="s">
        <v>144</v>
      </c>
      <c r="C134" s="13" t="s">
        <v>82</v>
      </c>
      <c r="D134" s="30">
        <v>500</v>
      </c>
      <c r="E134" s="30">
        <v>500</v>
      </c>
      <c r="F134" s="30">
        <v>500</v>
      </c>
      <c r="G134" s="30">
        <v>500</v>
      </c>
      <c r="H134" s="30">
        <v>500</v>
      </c>
      <c r="I134" s="30">
        <v>500</v>
      </c>
      <c r="J134" s="30">
        <v>500</v>
      </c>
      <c r="K134" s="30">
        <v>500</v>
      </c>
      <c r="L134" s="30">
        <v>500</v>
      </c>
      <c r="M134" s="30">
        <v>500</v>
      </c>
      <c r="N134" s="30">
        <v>500</v>
      </c>
      <c r="O134" s="30">
        <v>500</v>
      </c>
      <c r="P134" s="36">
        <f t="shared" ref="P134:P135" si="40">O134*3</f>
        <v>1500</v>
      </c>
      <c r="Q134" s="36">
        <f t="shared" ref="Q134:Q135" si="41">O134*3</f>
        <v>1500</v>
      </c>
      <c r="R134" s="36">
        <f t="shared" ref="R134:R135" si="42">O134*3</f>
        <v>1500</v>
      </c>
      <c r="S134" s="36">
        <f t="shared" ref="S134:S135" si="43">O134*3</f>
        <v>1500</v>
      </c>
      <c r="T134" s="36">
        <f t="shared" ref="T134:T135" si="44">O134*12</f>
        <v>6000</v>
      </c>
      <c r="U134" s="18" t="s">
        <v>145</v>
      </c>
    </row>
    <row r="135" spans="2:21" ht="15.75" customHeight="1" outlineLevel="1" x14ac:dyDescent="0.25">
      <c r="B135" s="102" t="s">
        <v>146</v>
      </c>
      <c r="C135" s="13" t="s">
        <v>82</v>
      </c>
      <c r="D135" s="30">
        <v>1000</v>
      </c>
      <c r="E135" s="30">
        <v>1000</v>
      </c>
      <c r="F135" s="30">
        <v>1000</v>
      </c>
      <c r="G135" s="30">
        <v>1000</v>
      </c>
      <c r="H135" s="30">
        <v>1000</v>
      </c>
      <c r="I135" s="30">
        <v>1000</v>
      </c>
      <c r="J135" s="30">
        <v>1000</v>
      </c>
      <c r="K135" s="30">
        <v>1000</v>
      </c>
      <c r="L135" s="30">
        <v>1000</v>
      </c>
      <c r="M135" s="30">
        <v>1000</v>
      </c>
      <c r="N135" s="30">
        <v>1000</v>
      </c>
      <c r="O135" s="30">
        <v>1000</v>
      </c>
      <c r="P135" s="36">
        <f t="shared" si="40"/>
        <v>3000</v>
      </c>
      <c r="Q135" s="36">
        <f t="shared" si="41"/>
        <v>3000</v>
      </c>
      <c r="R135" s="36">
        <f t="shared" si="42"/>
        <v>3000</v>
      </c>
      <c r="S135" s="36">
        <f t="shared" si="43"/>
        <v>3000</v>
      </c>
      <c r="T135" s="36">
        <f t="shared" si="44"/>
        <v>12000</v>
      </c>
      <c r="U135" s="18" t="s">
        <v>147</v>
      </c>
    </row>
    <row r="136" spans="2:21" ht="15.75" customHeight="1" outlineLevel="1" x14ac:dyDescent="0.25">
      <c r="B136" s="9" t="s">
        <v>148</v>
      </c>
      <c r="C136" s="13" t="s">
        <v>82</v>
      </c>
      <c r="D136" s="36">
        <f>((D139*$D$148/12)+(D140*$D$149/12)+(D141*$D$147/12)+(D142*$D$150/12)+(D143*$D$151/12)+(D144*$D$152/12))*1.046</f>
        <v>29218.26666666667</v>
      </c>
      <c r="E136" s="36">
        <f t="shared" ref="E136:O136" si="45">((E139*$D$148/12)+(E140*$D$149/12)+(E141*$D$147/12)+(E142*$D$150/12)+(E143*$D$151/12)+(E144*$D$152/12))*1.046</f>
        <v>29218.26666666667</v>
      </c>
      <c r="F136" s="36">
        <f t="shared" si="45"/>
        <v>29218.26666666667</v>
      </c>
      <c r="G136" s="36">
        <f t="shared" si="45"/>
        <v>29218.26666666667</v>
      </c>
      <c r="H136" s="36">
        <f t="shared" si="45"/>
        <v>33402.26666666667</v>
      </c>
      <c r="I136" s="36">
        <f t="shared" si="45"/>
        <v>33402.26666666667</v>
      </c>
      <c r="J136" s="36">
        <f t="shared" si="45"/>
        <v>33402.26666666667</v>
      </c>
      <c r="K136" s="36">
        <f t="shared" si="45"/>
        <v>33402.26666666667</v>
      </c>
      <c r="L136" s="36">
        <f t="shared" si="45"/>
        <v>44385.26666666667</v>
      </c>
      <c r="M136" s="36">
        <f t="shared" si="45"/>
        <v>44385.26666666667</v>
      </c>
      <c r="N136" s="36">
        <f t="shared" si="45"/>
        <v>44385.26666666667</v>
      </c>
      <c r="O136" s="36">
        <f t="shared" si="45"/>
        <v>44385.26666666667</v>
      </c>
      <c r="P136" s="36">
        <f>((P139*$D$148/4)+(P140*$D$149/4)+(P141*$D$147/4)+(P142*$D$150/4)+(P143*$D$151/4)+(P144*$D$152/4))*1.046</f>
        <v>160142.6</v>
      </c>
      <c r="Q136" s="36">
        <f>((Q139*$D$148/4)+(Q140*$D$149/4)+(Q141*$D$147/4)+(Q142*$D$150/4)+(Q143*$D$151/4)+(Q144*$D$152/4))*1.046</f>
        <v>160142.6</v>
      </c>
      <c r="R136" s="36">
        <f>((R139*$D$148/4)+(R140*$D$149/4)+(R141*$D$147/4)+(R142*$D$150/4)+(R143*$D$151/4)+(R144*$D$152/4))*1.046</f>
        <v>167987.6</v>
      </c>
      <c r="S136" s="36">
        <f>((S139*$D$148/4)+(S140*$D$149/4)+(S141*$D$147/4)+(S142*$D$150/4)+(S143*$D$151/4)+(S144*$D$152/4))*1.046</f>
        <v>167987.6</v>
      </c>
      <c r="T136" s="36">
        <f>((T139*$D$148)+(T140*$D$149)+(T141*$D$147)+(T142*$D$150)+(T143*$D$151)+(T144*$D$152))*1.046</f>
        <v>703330.4</v>
      </c>
      <c r="U136" s="15" t="s">
        <v>149</v>
      </c>
    </row>
    <row r="137" spans="2:21" ht="15.75" customHeight="1" outlineLevel="1" x14ac:dyDescent="0.3">
      <c r="B137" s="98"/>
      <c r="C137" s="13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U137" s="18"/>
    </row>
    <row r="138" spans="2:21" ht="13" outlineLevel="2" x14ac:dyDescent="0.3">
      <c r="B138" s="104" t="s">
        <v>148</v>
      </c>
      <c r="C138" s="13"/>
      <c r="D138" s="25" t="s">
        <v>52</v>
      </c>
      <c r="E138" s="25" t="s">
        <v>53</v>
      </c>
      <c r="F138" s="25" t="s">
        <v>54</v>
      </c>
      <c r="G138" s="25" t="s">
        <v>55</v>
      </c>
      <c r="H138" s="25" t="s">
        <v>56</v>
      </c>
      <c r="I138" s="25" t="s">
        <v>57</v>
      </c>
      <c r="J138" s="25" t="s">
        <v>58</v>
      </c>
      <c r="K138" s="25" t="s">
        <v>59</v>
      </c>
      <c r="L138" s="25" t="s">
        <v>60</v>
      </c>
      <c r="M138" s="25" t="s">
        <v>61</v>
      </c>
      <c r="N138" s="25" t="s">
        <v>62</v>
      </c>
      <c r="O138" s="25" t="s">
        <v>63</v>
      </c>
      <c r="P138" s="25" t="s">
        <v>64</v>
      </c>
      <c r="Q138" s="25" t="s">
        <v>65</v>
      </c>
      <c r="R138" s="25" t="s">
        <v>66</v>
      </c>
      <c r="S138" s="25" t="s">
        <v>67</v>
      </c>
      <c r="T138" s="25" t="s">
        <v>68</v>
      </c>
    </row>
    <row r="139" spans="2:21" ht="15.75" customHeight="1" outlineLevel="2" x14ac:dyDescent="0.25">
      <c r="B139" s="9" t="s">
        <v>150</v>
      </c>
      <c r="C139" s="13" t="s">
        <v>151</v>
      </c>
      <c r="D139" s="42">
        <v>1</v>
      </c>
      <c r="E139" s="42">
        <v>1</v>
      </c>
      <c r="F139" s="42">
        <v>1</v>
      </c>
      <c r="G139" s="42">
        <v>1</v>
      </c>
      <c r="H139" s="42">
        <v>2</v>
      </c>
      <c r="I139" s="42">
        <v>2</v>
      </c>
      <c r="J139" s="42">
        <v>2</v>
      </c>
      <c r="K139" s="42">
        <v>2</v>
      </c>
      <c r="L139" s="42">
        <v>2</v>
      </c>
      <c r="M139" s="42">
        <v>2</v>
      </c>
      <c r="N139" s="42">
        <v>2</v>
      </c>
      <c r="O139" s="42">
        <v>2</v>
      </c>
      <c r="P139" s="42">
        <v>3</v>
      </c>
      <c r="Q139" s="42">
        <v>3</v>
      </c>
      <c r="R139" s="42">
        <v>3</v>
      </c>
      <c r="S139" s="42">
        <v>3</v>
      </c>
      <c r="T139" s="42">
        <v>3</v>
      </c>
      <c r="U139" t="s">
        <v>152</v>
      </c>
    </row>
    <row r="140" spans="2:21" ht="15.75" customHeight="1" outlineLevel="2" x14ac:dyDescent="0.25">
      <c r="B140" s="9" t="s">
        <v>153</v>
      </c>
      <c r="C140" s="13" t="s">
        <v>151</v>
      </c>
      <c r="D140" s="43">
        <v>1</v>
      </c>
      <c r="E140" s="43">
        <v>1</v>
      </c>
      <c r="F140" s="43">
        <v>1</v>
      </c>
      <c r="G140" s="43">
        <v>1</v>
      </c>
      <c r="H140" s="43">
        <v>1</v>
      </c>
      <c r="I140" s="43">
        <v>1</v>
      </c>
      <c r="J140" s="43">
        <v>1</v>
      </c>
      <c r="K140" s="43">
        <v>1</v>
      </c>
      <c r="L140" s="43">
        <v>1</v>
      </c>
      <c r="M140" s="43">
        <v>1</v>
      </c>
      <c r="N140" s="43">
        <v>1</v>
      </c>
      <c r="O140" s="43">
        <v>1</v>
      </c>
      <c r="P140" s="43">
        <v>1</v>
      </c>
      <c r="Q140" s="43">
        <v>1</v>
      </c>
      <c r="R140" s="43">
        <v>1</v>
      </c>
      <c r="S140" s="43">
        <v>1</v>
      </c>
      <c r="T140" s="43">
        <v>1</v>
      </c>
      <c r="U140" t="s">
        <v>152</v>
      </c>
    </row>
    <row r="141" spans="2:21" ht="15.75" customHeight="1" outlineLevel="2" x14ac:dyDescent="0.25">
      <c r="B141" s="9" t="s">
        <v>154</v>
      </c>
      <c r="C141" s="13" t="s">
        <v>151</v>
      </c>
      <c r="D141" s="43">
        <v>1</v>
      </c>
      <c r="E141" s="43">
        <v>1</v>
      </c>
      <c r="F141" s="43">
        <v>1</v>
      </c>
      <c r="G141" s="43">
        <v>1</v>
      </c>
      <c r="H141" s="43">
        <v>1</v>
      </c>
      <c r="I141" s="43">
        <v>1</v>
      </c>
      <c r="J141" s="43">
        <v>1</v>
      </c>
      <c r="K141" s="43">
        <v>1</v>
      </c>
      <c r="L141" s="43">
        <v>2</v>
      </c>
      <c r="M141" s="43">
        <v>2</v>
      </c>
      <c r="N141" s="43">
        <v>2</v>
      </c>
      <c r="O141" s="43">
        <v>2</v>
      </c>
      <c r="P141" s="43">
        <v>3</v>
      </c>
      <c r="Q141" s="43">
        <v>3</v>
      </c>
      <c r="R141" s="43">
        <v>4</v>
      </c>
      <c r="S141" s="43">
        <v>4</v>
      </c>
      <c r="T141" s="43">
        <v>5</v>
      </c>
      <c r="U141" t="s">
        <v>152</v>
      </c>
    </row>
    <row r="142" spans="2:21" ht="15.75" customHeight="1" outlineLevel="2" x14ac:dyDescent="0.25">
      <c r="B142" s="102" t="s">
        <v>155</v>
      </c>
      <c r="C142" s="13" t="s">
        <v>151</v>
      </c>
      <c r="D142" s="43">
        <v>1</v>
      </c>
      <c r="E142" s="43">
        <v>1</v>
      </c>
      <c r="F142" s="43">
        <v>1</v>
      </c>
      <c r="G142" s="43">
        <v>1</v>
      </c>
      <c r="H142" s="43">
        <v>1</v>
      </c>
      <c r="I142" s="43">
        <v>1</v>
      </c>
      <c r="J142" s="43">
        <v>1</v>
      </c>
      <c r="K142" s="43">
        <v>1</v>
      </c>
      <c r="L142" s="43">
        <v>2</v>
      </c>
      <c r="M142" s="43">
        <v>2</v>
      </c>
      <c r="N142" s="43">
        <v>2</v>
      </c>
      <c r="O142" s="43">
        <v>2</v>
      </c>
      <c r="P142" s="43">
        <v>2</v>
      </c>
      <c r="Q142" s="43">
        <v>2</v>
      </c>
      <c r="R142" s="43">
        <v>2</v>
      </c>
      <c r="S142" s="43">
        <v>2</v>
      </c>
      <c r="T142" s="43">
        <v>2</v>
      </c>
      <c r="U142" t="s">
        <v>152</v>
      </c>
    </row>
    <row r="143" spans="2:21" ht="15.75" customHeight="1" outlineLevel="2" x14ac:dyDescent="0.25">
      <c r="B143" s="102" t="s">
        <v>156</v>
      </c>
      <c r="C143" s="13" t="s">
        <v>151</v>
      </c>
      <c r="D143" s="43">
        <v>1</v>
      </c>
      <c r="E143" s="43">
        <v>1</v>
      </c>
      <c r="F143" s="43">
        <v>1</v>
      </c>
      <c r="G143" s="43">
        <v>1</v>
      </c>
      <c r="H143" s="43">
        <v>1</v>
      </c>
      <c r="I143" s="43">
        <v>1</v>
      </c>
      <c r="J143" s="43">
        <v>1</v>
      </c>
      <c r="K143" s="43">
        <v>1</v>
      </c>
      <c r="L143" s="43">
        <v>1</v>
      </c>
      <c r="M143" s="43">
        <v>1</v>
      </c>
      <c r="N143" s="43">
        <v>1</v>
      </c>
      <c r="O143" s="43">
        <v>1</v>
      </c>
      <c r="P143" s="43">
        <v>2</v>
      </c>
      <c r="Q143" s="43">
        <v>2</v>
      </c>
      <c r="R143" s="43">
        <v>2</v>
      </c>
      <c r="S143" s="43">
        <v>2</v>
      </c>
      <c r="T143" s="43">
        <v>2</v>
      </c>
      <c r="U143" t="s">
        <v>157</v>
      </c>
    </row>
    <row r="144" spans="2:21" ht="15.75" customHeight="1" outlineLevel="2" x14ac:dyDescent="0.25">
      <c r="B144" s="9" t="s">
        <v>158</v>
      </c>
      <c r="C144" s="13" t="s">
        <v>151</v>
      </c>
      <c r="D144" s="43">
        <v>1</v>
      </c>
      <c r="E144" s="43">
        <v>1</v>
      </c>
      <c r="F144" s="43">
        <v>1</v>
      </c>
      <c r="G144" s="43">
        <v>1</v>
      </c>
      <c r="H144" s="43">
        <v>1</v>
      </c>
      <c r="I144" s="43">
        <v>1</v>
      </c>
      <c r="J144" s="43">
        <v>1</v>
      </c>
      <c r="K144" s="43">
        <v>1</v>
      </c>
      <c r="L144" s="43">
        <v>1</v>
      </c>
      <c r="M144" s="43">
        <v>1</v>
      </c>
      <c r="N144" s="43">
        <v>1</v>
      </c>
      <c r="O144" s="43">
        <v>1</v>
      </c>
      <c r="P144" s="43">
        <v>1</v>
      </c>
      <c r="Q144" s="43">
        <v>1</v>
      </c>
      <c r="R144" s="43">
        <v>1</v>
      </c>
      <c r="S144" s="43">
        <v>1</v>
      </c>
      <c r="T144" s="43">
        <v>1</v>
      </c>
      <c r="U144" t="s">
        <v>152</v>
      </c>
    </row>
    <row r="145" spans="1:41" ht="15.75" customHeight="1" outlineLevel="1" x14ac:dyDescent="0.3">
      <c r="B145" s="98"/>
      <c r="C145" s="13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U145" s="18"/>
    </row>
    <row r="146" spans="1:41" ht="15.75" customHeight="1" outlineLevel="1" x14ac:dyDescent="0.3">
      <c r="B146" s="104" t="s">
        <v>159</v>
      </c>
      <c r="C146" s="13"/>
      <c r="D146" s="25"/>
      <c r="E146" s="37"/>
      <c r="F146" s="25"/>
      <c r="G146" s="25"/>
      <c r="H146" s="22"/>
      <c r="I146" s="22"/>
      <c r="J146" s="22"/>
      <c r="K146" s="22"/>
      <c r="L146" s="22"/>
      <c r="M146" s="22"/>
      <c r="N146" s="22"/>
      <c r="O146" s="22"/>
      <c r="U146" s="18"/>
    </row>
    <row r="147" spans="1:41" ht="15.75" customHeight="1" outlineLevel="1" x14ac:dyDescent="0.25">
      <c r="B147" s="9" t="s">
        <v>160</v>
      </c>
      <c r="C147" s="13" t="s">
        <v>161</v>
      </c>
      <c r="D147" s="30">
        <v>30000</v>
      </c>
      <c r="E147" s="18" t="s">
        <v>162</v>
      </c>
      <c r="F147" s="32"/>
      <c r="H147" s="22"/>
      <c r="I147" s="22"/>
      <c r="J147" s="22"/>
      <c r="K147" s="22"/>
      <c r="L147" s="22"/>
      <c r="M147" s="22"/>
      <c r="N147" s="22"/>
      <c r="O147" s="22"/>
      <c r="U147" s="18"/>
    </row>
    <row r="148" spans="1:41" ht="15.75" customHeight="1" outlineLevel="1" x14ac:dyDescent="0.25">
      <c r="B148" s="9" t="s">
        <v>163</v>
      </c>
      <c r="C148" s="13" t="s">
        <v>161</v>
      </c>
      <c r="D148" s="30">
        <v>48000</v>
      </c>
      <c r="E148" s="18" t="s">
        <v>164</v>
      </c>
      <c r="F148" s="32"/>
      <c r="H148" s="22"/>
      <c r="I148" s="22"/>
      <c r="J148" s="22"/>
      <c r="K148" s="22"/>
      <c r="L148" s="22"/>
      <c r="M148" s="22"/>
      <c r="N148" s="22"/>
      <c r="O148" s="22"/>
      <c r="U148" s="18"/>
    </row>
    <row r="149" spans="1:41" ht="15.75" customHeight="1" outlineLevel="1" x14ac:dyDescent="0.25">
      <c r="B149" s="9" t="s">
        <v>165</v>
      </c>
      <c r="C149" s="13" t="s">
        <v>161</v>
      </c>
      <c r="D149" s="30">
        <v>100000</v>
      </c>
      <c r="E149" s="18" t="s">
        <v>166</v>
      </c>
      <c r="F149" s="32"/>
      <c r="H149" s="22"/>
      <c r="I149" s="22"/>
      <c r="J149" s="22"/>
      <c r="K149" s="22"/>
      <c r="L149" s="22"/>
      <c r="M149" s="22"/>
      <c r="N149" s="22"/>
      <c r="O149" s="22"/>
      <c r="U149" s="18"/>
    </row>
    <row r="150" spans="1:41" ht="15.75" customHeight="1" outlineLevel="1" x14ac:dyDescent="0.25">
      <c r="B150" s="102" t="s">
        <v>167</v>
      </c>
      <c r="C150" s="13" t="s">
        <v>161</v>
      </c>
      <c r="D150" s="30">
        <v>96000</v>
      </c>
      <c r="E150" s="18" t="s">
        <v>168</v>
      </c>
      <c r="F150" s="32"/>
      <c r="H150" s="22"/>
      <c r="I150" s="22"/>
      <c r="J150" s="22"/>
      <c r="K150" s="22"/>
      <c r="L150" s="22"/>
      <c r="M150" s="22"/>
      <c r="N150" s="22"/>
      <c r="O150" s="22"/>
      <c r="U150" s="18"/>
    </row>
    <row r="151" spans="1:41" ht="15.75" customHeight="1" outlineLevel="1" x14ac:dyDescent="0.25">
      <c r="B151" s="102" t="s">
        <v>169</v>
      </c>
      <c r="C151" s="13" t="s">
        <v>161</v>
      </c>
      <c r="D151" s="30">
        <v>25200</v>
      </c>
      <c r="E151" s="18" t="s">
        <v>170</v>
      </c>
      <c r="F151" s="32"/>
      <c r="H151" s="22"/>
      <c r="I151" s="22"/>
      <c r="J151" s="22"/>
      <c r="K151" s="22"/>
      <c r="L151" s="22"/>
      <c r="M151" s="22"/>
      <c r="N151" s="22"/>
      <c r="O151" s="22"/>
      <c r="U151" s="18"/>
    </row>
    <row r="152" spans="1:41" ht="15.75" customHeight="1" outlineLevel="1" x14ac:dyDescent="0.25">
      <c r="B152" s="102" t="s">
        <v>171</v>
      </c>
      <c r="C152" s="13" t="s">
        <v>161</v>
      </c>
      <c r="D152" s="30">
        <v>36000</v>
      </c>
      <c r="E152" s="89" t="s">
        <v>172</v>
      </c>
      <c r="F152" s="32"/>
      <c r="H152" s="22"/>
      <c r="I152" s="22"/>
      <c r="J152" s="22"/>
      <c r="K152" s="22"/>
      <c r="L152" s="22"/>
      <c r="M152" s="22"/>
      <c r="N152" s="22"/>
      <c r="O152" s="22"/>
      <c r="U152" s="18"/>
    </row>
    <row r="153" spans="1:41" ht="15.75" customHeight="1" outlineLevel="1" x14ac:dyDescent="0.3">
      <c r="B153" s="98"/>
      <c r="C153" s="13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U153" s="18"/>
    </row>
    <row r="154" spans="1:41" ht="15.75" customHeight="1" outlineLevel="1" x14ac:dyDescent="0.25">
      <c r="C154" s="13"/>
    </row>
    <row r="155" spans="1:41" ht="15.75" customHeight="1" x14ac:dyDescent="0.4">
      <c r="A155" s="18"/>
      <c r="B155" s="107" t="s">
        <v>173</v>
      </c>
      <c r="C155" s="116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spans="1:41" ht="15.75" customHeight="1" outlineLevel="1" x14ac:dyDescent="0.25">
      <c r="C156" s="13"/>
    </row>
    <row r="157" spans="1:41" ht="15.75" customHeight="1" outlineLevel="1" x14ac:dyDescent="0.3">
      <c r="B157" s="98" t="s">
        <v>127</v>
      </c>
      <c r="C157" s="13"/>
      <c r="D157" s="25" t="s">
        <v>52</v>
      </c>
      <c r="E157" s="25" t="s">
        <v>53</v>
      </c>
      <c r="F157" s="25" t="s">
        <v>54</v>
      </c>
      <c r="G157" s="25" t="s">
        <v>55</v>
      </c>
      <c r="H157" s="25" t="s">
        <v>56</v>
      </c>
      <c r="I157" s="25" t="s">
        <v>57</v>
      </c>
      <c r="J157" s="37" t="s">
        <v>58</v>
      </c>
      <c r="K157" s="25" t="s">
        <v>59</v>
      </c>
      <c r="L157" s="25" t="s">
        <v>60</v>
      </c>
      <c r="M157" s="25" t="s">
        <v>61</v>
      </c>
      <c r="N157" s="25" t="s">
        <v>62</v>
      </c>
      <c r="O157" s="25" t="s">
        <v>63</v>
      </c>
      <c r="P157" s="25" t="s">
        <v>64</v>
      </c>
      <c r="Q157" s="25" t="s">
        <v>65</v>
      </c>
      <c r="R157" s="25" t="s">
        <v>66</v>
      </c>
      <c r="S157" s="25" t="s">
        <v>67</v>
      </c>
      <c r="T157" s="25" t="s">
        <v>68</v>
      </c>
    </row>
    <row r="158" spans="1:41" ht="12.5" outlineLevel="2" x14ac:dyDescent="0.25">
      <c r="B158" s="9" t="s">
        <v>128</v>
      </c>
      <c r="C158" s="13" t="s">
        <v>45</v>
      </c>
      <c r="D158" s="92">
        <v>0.33333333333333331</v>
      </c>
      <c r="E158" s="92">
        <v>0.33333333333333331</v>
      </c>
      <c r="F158" s="92">
        <v>0.33333333333333331</v>
      </c>
      <c r="G158" s="92">
        <v>0.33333333333333331</v>
      </c>
      <c r="H158" s="92">
        <v>0.33333333333333331</v>
      </c>
      <c r="I158" s="92">
        <v>0.33333333333333331</v>
      </c>
      <c r="J158" s="92">
        <v>0.33333333333333331</v>
      </c>
      <c r="K158" s="92">
        <v>0.33333333333333331</v>
      </c>
      <c r="L158" s="92">
        <v>0.33333333333333331</v>
      </c>
      <c r="M158" s="92">
        <v>0.33333333333333331</v>
      </c>
      <c r="N158" s="92">
        <v>0.33333333333333331</v>
      </c>
      <c r="O158" s="92">
        <v>0.33333333333333331</v>
      </c>
      <c r="P158" s="92">
        <v>0.33333333333333331</v>
      </c>
      <c r="Q158" s="92">
        <v>0.33333333333333331</v>
      </c>
      <c r="R158" s="92">
        <v>0.33333333333333331</v>
      </c>
      <c r="S158" s="92">
        <v>0.33333333333333331</v>
      </c>
      <c r="T158" s="92">
        <v>0.33333333333333331</v>
      </c>
      <c r="U158" s="89" t="s">
        <v>116</v>
      </c>
    </row>
    <row r="159" spans="1:41" ht="12.5" outlineLevel="2" x14ac:dyDescent="0.25">
      <c r="B159" s="9" t="s">
        <v>128</v>
      </c>
      <c r="C159" s="13" t="s">
        <v>82</v>
      </c>
      <c r="D159" s="39">
        <f t="shared" ref="D159:T159" si="46">D77*D158</f>
        <v>0</v>
      </c>
      <c r="E159" s="39">
        <f t="shared" si="46"/>
        <v>0</v>
      </c>
      <c r="F159" s="39">
        <f t="shared" si="46"/>
        <v>0</v>
      </c>
      <c r="G159" s="39">
        <f t="shared" si="46"/>
        <v>0</v>
      </c>
      <c r="H159" s="39">
        <f t="shared" si="46"/>
        <v>0</v>
      </c>
      <c r="I159" s="39">
        <f t="shared" si="46"/>
        <v>0</v>
      </c>
      <c r="J159" s="39">
        <f t="shared" si="46"/>
        <v>0</v>
      </c>
      <c r="K159" s="39">
        <f t="shared" si="46"/>
        <v>0</v>
      </c>
      <c r="L159" s="39">
        <f t="shared" si="46"/>
        <v>0</v>
      </c>
      <c r="M159" s="39">
        <f t="shared" si="46"/>
        <v>0</v>
      </c>
      <c r="N159" s="39">
        <f t="shared" si="46"/>
        <v>500</v>
      </c>
      <c r="O159" s="39">
        <f t="shared" si="46"/>
        <v>3000</v>
      </c>
      <c r="P159" s="39">
        <f t="shared" si="46"/>
        <v>323308.79999999993</v>
      </c>
      <c r="Q159" s="39">
        <f t="shared" si="46"/>
        <v>2043468.0647999994</v>
      </c>
      <c r="R159" s="39">
        <f t="shared" si="46"/>
        <v>4440769.4757484123</v>
      </c>
      <c r="S159" s="39">
        <f t="shared" si="46"/>
        <v>5901254.4394125575</v>
      </c>
      <c r="T159" s="39">
        <f t="shared" si="46"/>
        <v>60746389.976238593</v>
      </c>
    </row>
    <row r="160" spans="1:41" ht="12.5" outlineLevel="2" x14ac:dyDescent="0.25">
      <c r="B160" s="9" t="s">
        <v>129</v>
      </c>
      <c r="C160" s="13" t="s">
        <v>45</v>
      </c>
      <c r="D160" s="92">
        <v>0.33333333333333331</v>
      </c>
      <c r="E160" s="92">
        <v>0.33333333333333331</v>
      </c>
      <c r="F160" s="92">
        <v>0.33333333333333331</v>
      </c>
      <c r="G160" s="92">
        <v>0.33333333333333331</v>
      </c>
      <c r="H160" s="92">
        <v>0.33333333333333331</v>
      </c>
      <c r="I160" s="92">
        <v>0.33333333333333331</v>
      </c>
      <c r="J160" s="92">
        <v>0.33333333333333331</v>
      </c>
      <c r="K160" s="92">
        <v>0.33333333333333331</v>
      </c>
      <c r="L160" s="92">
        <v>0.33333333333333331</v>
      </c>
      <c r="M160" s="92">
        <v>0.33333333333333331</v>
      </c>
      <c r="N160" s="92">
        <v>0.33333333333333331</v>
      </c>
      <c r="O160" s="92">
        <v>0.33333333333333331</v>
      </c>
      <c r="P160" s="92">
        <v>0.33333333333333331</v>
      </c>
      <c r="Q160" s="92">
        <v>0.33333333333333331</v>
      </c>
      <c r="R160" s="92">
        <v>0.33333333333333331</v>
      </c>
      <c r="S160" s="92">
        <v>0.33333333333333331</v>
      </c>
      <c r="T160" s="92">
        <v>0.33333333333333331</v>
      </c>
      <c r="U160" s="89" t="s">
        <v>116</v>
      </c>
    </row>
    <row r="161" spans="2:21" ht="12.5" outlineLevel="2" x14ac:dyDescent="0.25">
      <c r="B161" s="9" t="s">
        <v>129</v>
      </c>
      <c r="C161" s="13" t="s">
        <v>82</v>
      </c>
      <c r="D161" s="39">
        <f t="shared" ref="D161:T161" si="47">D77*D160</f>
        <v>0</v>
      </c>
      <c r="E161" s="39">
        <f t="shared" si="47"/>
        <v>0</v>
      </c>
      <c r="F161" s="39">
        <f t="shared" si="47"/>
        <v>0</v>
      </c>
      <c r="G161" s="39">
        <f t="shared" si="47"/>
        <v>0</v>
      </c>
      <c r="H161" s="39">
        <f t="shared" si="47"/>
        <v>0</v>
      </c>
      <c r="I161" s="39">
        <f t="shared" si="47"/>
        <v>0</v>
      </c>
      <c r="J161" s="39">
        <f t="shared" si="47"/>
        <v>0</v>
      </c>
      <c r="K161" s="39">
        <f t="shared" si="47"/>
        <v>0</v>
      </c>
      <c r="L161" s="39">
        <f t="shared" si="47"/>
        <v>0</v>
      </c>
      <c r="M161" s="39">
        <f t="shared" si="47"/>
        <v>0</v>
      </c>
      <c r="N161" s="39">
        <f t="shared" si="47"/>
        <v>500</v>
      </c>
      <c r="O161" s="39">
        <f t="shared" si="47"/>
        <v>3000</v>
      </c>
      <c r="P161" s="39">
        <f t="shared" si="47"/>
        <v>323308.79999999993</v>
      </c>
      <c r="Q161" s="39">
        <f t="shared" si="47"/>
        <v>2043468.0647999994</v>
      </c>
      <c r="R161" s="39">
        <f t="shared" si="47"/>
        <v>4440769.4757484123</v>
      </c>
      <c r="S161" s="39">
        <f t="shared" si="47"/>
        <v>5901254.4394125575</v>
      </c>
      <c r="T161" s="39">
        <f t="shared" si="47"/>
        <v>60746389.976238593</v>
      </c>
    </row>
    <row r="162" spans="2:21" ht="15.75" customHeight="1" outlineLevel="1" x14ac:dyDescent="0.3">
      <c r="B162" s="98"/>
      <c r="C162" s="13"/>
    </row>
    <row r="163" spans="2:21" ht="15.75" customHeight="1" outlineLevel="1" x14ac:dyDescent="0.3">
      <c r="B163" s="105" t="s">
        <v>174</v>
      </c>
      <c r="C163" s="13"/>
    </row>
    <row r="164" spans="2:21" ht="15.75" customHeight="1" outlineLevel="2" x14ac:dyDescent="0.3">
      <c r="B164" s="104" t="s">
        <v>175</v>
      </c>
      <c r="C164" s="13"/>
      <c r="D164" s="25" t="s">
        <v>52</v>
      </c>
      <c r="E164" s="25" t="s">
        <v>53</v>
      </c>
      <c r="F164" s="25" t="s">
        <v>54</v>
      </c>
      <c r="G164" s="25" t="s">
        <v>55</v>
      </c>
      <c r="H164" s="25" t="s">
        <v>56</v>
      </c>
      <c r="I164" s="25" t="s">
        <v>57</v>
      </c>
      <c r="J164" s="25" t="s">
        <v>58</v>
      </c>
      <c r="K164" s="25" t="s">
        <v>59</v>
      </c>
      <c r="L164" s="25" t="s">
        <v>60</v>
      </c>
      <c r="M164" s="25" t="s">
        <v>61</v>
      </c>
      <c r="N164" s="25" t="s">
        <v>62</v>
      </c>
      <c r="O164" s="25" t="s">
        <v>63</v>
      </c>
      <c r="P164" s="25" t="s">
        <v>64</v>
      </c>
      <c r="Q164" s="25" t="s">
        <v>65</v>
      </c>
      <c r="R164" s="25" t="s">
        <v>66</v>
      </c>
      <c r="S164" s="25" t="s">
        <v>67</v>
      </c>
      <c r="T164" s="25" t="s">
        <v>68</v>
      </c>
    </row>
    <row r="165" spans="2:21" ht="15.75" customHeight="1" outlineLevel="2" x14ac:dyDescent="0.25">
      <c r="B165" s="9" t="s">
        <v>176</v>
      </c>
      <c r="C165" s="13" t="s">
        <v>151</v>
      </c>
      <c r="D165" s="42">
        <v>0</v>
      </c>
      <c r="E165" s="42">
        <v>0</v>
      </c>
      <c r="F165" s="42">
        <v>1</v>
      </c>
      <c r="G165" s="42">
        <v>1</v>
      </c>
      <c r="H165" s="42">
        <v>1</v>
      </c>
      <c r="I165" s="42">
        <v>1</v>
      </c>
      <c r="J165" s="42">
        <v>1</v>
      </c>
      <c r="K165" s="42">
        <v>1</v>
      </c>
      <c r="L165" s="42">
        <v>1</v>
      </c>
      <c r="M165" s="42">
        <v>1</v>
      </c>
      <c r="N165" s="42">
        <v>1</v>
      </c>
      <c r="O165" s="42">
        <v>1</v>
      </c>
      <c r="P165" s="42">
        <v>2</v>
      </c>
      <c r="Q165" s="42">
        <v>2</v>
      </c>
      <c r="R165" s="42">
        <v>2</v>
      </c>
      <c r="S165" s="42">
        <v>2</v>
      </c>
      <c r="T165" s="42">
        <v>2</v>
      </c>
      <c r="U165" s="89" t="s">
        <v>177</v>
      </c>
    </row>
    <row r="166" spans="2:21" ht="15.75" customHeight="1" outlineLevel="2" x14ac:dyDescent="0.25">
      <c r="B166" s="102" t="s">
        <v>178</v>
      </c>
      <c r="C166" s="13" t="s">
        <v>151</v>
      </c>
      <c r="D166" s="42">
        <v>1</v>
      </c>
      <c r="E166" s="42">
        <v>1</v>
      </c>
      <c r="F166" s="42">
        <v>1</v>
      </c>
      <c r="G166" s="42">
        <v>1</v>
      </c>
      <c r="H166" s="42">
        <v>1</v>
      </c>
      <c r="I166" s="42">
        <v>1</v>
      </c>
      <c r="J166" s="42">
        <v>1</v>
      </c>
      <c r="K166" s="42">
        <v>1</v>
      </c>
      <c r="L166" s="42">
        <v>1</v>
      </c>
      <c r="M166" s="42">
        <v>1</v>
      </c>
      <c r="N166" s="42">
        <v>1</v>
      </c>
      <c r="O166" s="42">
        <v>1</v>
      </c>
      <c r="P166" s="42">
        <v>2</v>
      </c>
      <c r="Q166" s="42">
        <v>2</v>
      </c>
      <c r="R166" s="42">
        <v>2</v>
      </c>
      <c r="S166" s="42">
        <v>2</v>
      </c>
      <c r="T166" s="42">
        <v>2</v>
      </c>
      <c r="U166" s="89" t="s">
        <v>177</v>
      </c>
    </row>
    <row r="167" spans="2:21" ht="15.75" customHeight="1" outlineLevel="2" x14ac:dyDescent="0.25">
      <c r="B167" s="102" t="s">
        <v>156</v>
      </c>
      <c r="C167" s="13" t="s">
        <v>151</v>
      </c>
      <c r="D167" s="42">
        <v>1</v>
      </c>
      <c r="E167" s="42">
        <v>1</v>
      </c>
      <c r="F167" s="42">
        <v>1</v>
      </c>
      <c r="G167" s="42">
        <v>1</v>
      </c>
      <c r="H167" s="42">
        <v>1</v>
      </c>
      <c r="I167" s="42">
        <v>1</v>
      </c>
      <c r="J167" s="42">
        <v>1</v>
      </c>
      <c r="K167" s="42">
        <v>1</v>
      </c>
      <c r="L167" s="42">
        <v>1</v>
      </c>
      <c r="M167" s="42">
        <v>1</v>
      </c>
      <c r="N167" s="42">
        <v>1</v>
      </c>
      <c r="O167" s="42">
        <v>1</v>
      </c>
      <c r="P167" s="42">
        <v>2</v>
      </c>
      <c r="Q167" s="42">
        <v>2</v>
      </c>
      <c r="R167" s="42">
        <v>2</v>
      </c>
      <c r="S167" s="42">
        <v>2</v>
      </c>
      <c r="T167" s="42">
        <v>2</v>
      </c>
      <c r="U167" s="89" t="s">
        <v>177</v>
      </c>
    </row>
    <row r="168" spans="2:21" ht="15.75" customHeight="1" outlineLevel="2" x14ac:dyDescent="0.25">
      <c r="B168" s="102" t="s">
        <v>179</v>
      </c>
      <c r="C168" s="13" t="s">
        <v>151</v>
      </c>
      <c r="D168" s="42">
        <v>1</v>
      </c>
      <c r="E168" s="42">
        <v>1</v>
      </c>
      <c r="F168" s="42">
        <v>1</v>
      </c>
      <c r="G168" s="42">
        <v>1</v>
      </c>
      <c r="H168" s="42">
        <v>1</v>
      </c>
      <c r="I168" s="42">
        <v>1</v>
      </c>
      <c r="J168" s="42">
        <v>1</v>
      </c>
      <c r="K168" s="42">
        <v>1</v>
      </c>
      <c r="L168" s="42">
        <v>1</v>
      </c>
      <c r="M168" s="42">
        <v>1</v>
      </c>
      <c r="N168" s="42">
        <v>1</v>
      </c>
      <c r="O168" s="42">
        <v>1</v>
      </c>
      <c r="P168" s="42">
        <v>1</v>
      </c>
      <c r="Q168" s="42">
        <v>1</v>
      </c>
      <c r="R168" s="42">
        <v>1</v>
      </c>
      <c r="S168" s="42">
        <v>1</v>
      </c>
      <c r="T168" s="42">
        <v>1</v>
      </c>
      <c r="U168" s="89" t="s">
        <v>177</v>
      </c>
    </row>
    <row r="169" spans="2:21" ht="15.75" customHeight="1" outlineLevel="2" x14ac:dyDescent="0.25">
      <c r="C169" s="13"/>
    </row>
    <row r="170" spans="2:21" ht="15.75" customHeight="1" outlineLevel="2" x14ac:dyDescent="0.3">
      <c r="B170" s="104" t="s">
        <v>180</v>
      </c>
      <c r="C170" s="13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</row>
    <row r="171" spans="2:21" ht="15.75" customHeight="1" outlineLevel="2" x14ac:dyDescent="0.25">
      <c r="B171" s="9" t="s">
        <v>181</v>
      </c>
      <c r="C171" s="13" t="s">
        <v>161</v>
      </c>
      <c r="D171" s="30">
        <f>4*925*12*1.046</f>
        <v>46442.400000000001</v>
      </c>
      <c r="E171" s="85" t="s">
        <v>182</v>
      </c>
      <c r="F171" s="32"/>
      <c r="H171" s="32"/>
      <c r="I171" s="32"/>
      <c r="J171" s="32"/>
      <c r="K171" s="32"/>
      <c r="L171" s="32"/>
      <c r="M171" s="32"/>
      <c r="N171" s="32"/>
      <c r="O171" s="32"/>
      <c r="U171" s="18" t="s">
        <v>183</v>
      </c>
    </row>
    <row r="172" spans="2:21" ht="15.75" customHeight="1" outlineLevel="2" x14ac:dyDescent="0.25">
      <c r="B172" s="102" t="s">
        <v>167</v>
      </c>
      <c r="C172" s="13" t="s">
        <v>161</v>
      </c>
      <c r="D172" s="30">
        <f>4*2701*12*1.046</f>
        <v>135611.80800000002</v>
      </c>
      <c r="E172" s="89" t="s">
        <v>184</v>
      </c>
      <c r="F172" s="32"/>
      <c r="H172" s="32"/>
      <c r="I172" s="32"/>
      <c r="J172" s="32"/>
      <c r="K172" s="32"/>
      <c r="L172" s="32"/>
      <c r="M172" s="32"/>
      <c r="N172" s="32"/>
      <c r="O172" s="32"/>
      <c r="U172" s="18" t="s">
        <v>183</v>
      </c>
    </row>
    <row r="173" spans="2:21" ht="15.75" customHeight="1" outlineLevel="2" x14ac:dyDescent="0.25">
      <c r="B173" s="102" t="s">
        <v>169</v>
      </c>
      <c r="C173" s="13" t="s">
        <v>161</v>
      </c>
      <c r="D173" s="30">
        <f>4*1037*12*1.046</f>
        <v>52065.696000000004</v>
      </c>
      <c r="E173" s="89" t="s">
        <v>185</v>
      </c>
      <c r="F173" s="32"/>
      <c r="H173" s="32"/>
      <c r="I173" s="32"/>
      <c r="J173" s="32"/>
      <c r="K173" s="32"/>
      <c r="L173" s="32"/>
      <c r="M173" s="32"/>
      <c r="N173" s="32"/>
      <c r="O173" s="32"/>
      <c r="U173" s="18" t="s">
        <v>183</v>
      </c>
    </row>
    <row r="174" spans="2:21" ht="15.75" customHeight="1" outlineLevel="2" x14ac:dyDescent="0.25">
      <c r="B174" s="102" t="s">
        <v>179</v>
      </c>
      <c r="C174" s="13" t="s">
        <v>161</v>
      </c>
      <c r="D174" s="30">
        <f>4*1729*12*1.046</f>
        <v>86809.631999999998</v>
      </c>
      <c r="E174" s="89" t="s">
        <v>186</v>
      </c>
      <c r="F174" s="32"/>
      <c r="H174" s="32"/>
      <c r="I174" s="32"/>
      <c r="J174" s="32"/>
      <c r="K174" s="32"/>
      <c r="L174" s="32"/>
      <c r="M174" s="32"/>
      <c r="N174" s="32"/>
      <c r="O174" s="32"/>
      <c r="U174" s="18" t="s">
        <v>183</v>
      </c>
    </row>
    <row r="175" spans="2:21" ht="15.75" customHeight="1" outlineLevel="1" x14ac:dyDescent="0.25">
      <c r="C175" s="13"/>
    </row>
    <row r="176" spans="2:21" ht="15.75" customHeight="1" outlineLevel="1" x14ac:dyDescent="0.3">
      <c r="B176" s="98" t="s">
        <v>130</v>
      </c>
      <c r="C176" s="13"/>
      <c r="D176" s="25" t="s">
        <v>52</v>
      </c>
      <c r="E176" s="25" t="s">
        <v>53</v>
      </c>
      <c r="F176" s="25" t="s">
        <v>54</v>
      </c>
      <c r="G176" s="25" t="s">
        <v>55</v>
      </c>
      <c r="H176" s="25" t="s">
        <v>56</v>
      </c>
      <c r="I176" s="25" t="s">
        <v>57</v>
      </c>
      <c r="J176" s="25" t="s">
        <v>58</v>
      </c>
      <c r="K176" s="25" t="s">
        <v>59</v>
      </c>
      <c r="L176" s="25" t="s">
        <v>60</v>
      </c>
      <c r="M176" s="25" t="s">
        <v>61</v>
      </c>
      <c r="N176" s="25" t="s">
        <v>62</v>
      </c>
      <c r="O176" s="25" t="s">
        <v>63</v>
      </c>
      <c r="P176" s="25" t="s">
        <v>64</v>
      </c>
      <c r="Q176" s="25" t="s">
        <v>65</v>
      </c>
      <c r="R176" s="25" t="s">
        <v>66</v>
      </c>
      <c r="S176" s="25" t="s">
        <v>67</v>
      </c>
      <c r="T176" s="25" t="s">
        <v>68</v>
      </c>
    </row>
    <row r="177" spans="1:41" ht="15.75" customHeight="1" outlineLevel="2" x14ac:dyDescent="0.25">
      <c r="B177" s="102" t="s">
        <v>131</v>
      </c>
      <c r="C177" s="13" t="s">
        <v>187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6">
        <f t="shared" ref="O177" si="48">(1100*3.65+200)*O166*1.046</f>
        <v>4408.8900000000003</v>
      </c>
      <c r="P177" s="36">
        <f>(1100*3.65+200)*P166*1.046*3</f>
        <v>26453.340000000004</v>
      </c>
      <c r="Q177" s="36">
        <f t="shared" ref="Q177:S177" si="49">(1100*3.65+200)*Q166*1.046*3</f>
        <v>26453.340000000004</v>
      </c>
      <c r="R177" s="36">
        <f t="shared" si="49"/>
        <v>26453.340000000004</v>
      </c>
      <c r="S177" s="36">
        <f t="shared" si="49"/>
        <v>26453.340000000004</v>
      </c>
      <c r="T177" s="36">
        <f>(1100*3.65+200)*T166*1.046*12</f>
        <v>105813.36000000002</v>
      </c>
      <c r="U177" s="15" t="s">
        <v>188</v>
      </c>
    </row>
    <row r="178" spans="1:41" ht="15.75" customHeight="1" outlineLevel="2" x14ac:dyDescent="0.25">
      <c r="B178" s="1" t="s">
        <v>189</v>
      </c>
      <c r="C178" s="13" t="s">
        <v>190</v>
      </c>
      <c r="D178" s="36">
        <f t="shared" ref="D178:H178" si="50">75*SUM(D165:D168)</f>
        <v>225</v>
      </c>
      <c r="E178" s="36">
        <f t="shared" si="50"/>
        <v>225</v>
      </c>
      <c r="F178" s="36">
        <f t="shared" si="50"/>
        <v>300</v>
      </c>
      <c r="G178" s="36">
        <f t="shared" si="50"/>
        <v>300</v>
      </c>
      <c r="H178" s="36">
        <f t="shared" si="50"/>
        <v>300</v>
      </c>
      <c r="I178" s="36">
        <f>75*SUM(I165:I168)</f>
        <v>300</v>
      </c>
      <c r="J178" s="36">
        <f>75*SUM(J165:J168)</f>
        <v>300</v>
      </c>
      <c r="K178" s="36">
        <f t="shared" ref="K178:O178" si="51">75*SUM(K165:K168)</f>
        <v>300</v>
      </c>
      <c r="L178" s="36">
        <f t="shared" si="51"/>
        <v>300</v>
      </c>
      <c r="M178" s="36">
        <f t="shared" si="51"/>
        <v>300</v>
      </c>
      <c r="N178" s="36">
        <f t="shared" si="51"/>
        <v>300</v>
      </c>
      <c r="O178" s="36">
        <f t="shared" si="51"/>
        <v>300</v>
      </c>
      <c r="P178" s="36">
        <f t="shared" ref="P178:S178" si="52">75*SUM(P165:P168)*3</f>
        <v>1575</v>
      </c>
      <c r="Q178" s="36">
        <f t="shared" si="52"/>
        <v>1575</v>
      </c>
      <c r="R178" s="36">
        <f t="shared" si="52"/>
        <v>1575</v>
      </c>
      <c r="S178" s="36">
        <f t="shared" si="52"/>
        <v>1575</v>
      </c>
      <c r="T178" s="36">
        <f>75*SUM(T165:T168)*12</f>
        <v>6300</v>
      </c>
      <c r="U178" s="15" t="s">
        <v>191</v>
      </c>
      <c r="V178" s="15"/>
    </row>
    <row r="179" spans="1:41" ht="15.75" customHeight="1" outlineLevel="2" x14ac:dyDescent="0.25">
      <c r="B179" s="106" t="s">
        <v>192</v>
      </c>
      <c r="C179" s="13" t="s">
        <v>187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93">
        <f t="shared" ref="O179" si="53">O166*1000</f>
        <v>1000</v>
      </c>
      <c r="P179" s="36">
        <f>O179*3</f>
        <v>3000</v>
      </c>
      <c r="Q179" s="36">
        <f>O179*3</f>
        <v>3000</v>
      </c>
      <c r="R179" s="36">
        <f>O179*3</f>
        <v>3000</v>
      </c>
      <c r="S179" s="36">
        <f>O179*3</f>
        <v>3000</v>
      </c>
      <c r="T179" s="36">
        <f>O179*12</f>
        <v>12000</v>
      </c>
      <c r="U179" s="15" t="s">
        <v>193</v>
      </c>
    </row>
    <row r="180" spans="1:41" ht="15.75" customHeight="1" outlineLevel="1" x14ac:dyDescent="0.25">
      <c r="C180" s="13"/>
    </row>
    <row r="181" spans="1:41" ht="15.75" customHeight="1" outlineLevel="1" x14ac:dyDescent="0.25">
      <c r="C181" s="13"/>
      <c r="U181" s="18"/>
    </row>
    <row r="182" spans="1:41" ht="15.75" customHeight="1" outlineLevel="2" x14ac:dyDescent="0.3">
      <c r="B182" s="98" t="s">
        <v>133</v>
      </c>
      <c r="C182" s="13"/>
      <c r="D182" s="25" t="s">
        <v>52</v>
      </c>
      <c r="E182" s="25" t="s">
        <v>53</v>
      </c>
      <c r="F182" s="25" t="s">
        <v>54</v>
      </c>
      <c r="G182" s="25" t="s">
        <v>55</v>
      </c>
      <c r="H182" s="25" t="s">
        <v>56</v>
      </c>
      <c r="I182" s="25" t="s">
        <v>57</v>
      </c>
      <c r="J182" s="25" t="s">
        <v>58</v>
      </c>
      <c r="K182" s="25" t="s">
        <v>59</v>
      </c>
      <c r="L182" s="25" t="s">
        <v>60</v>
      </c>
      <c r="M182" s="25" t="s">
        <v>61</v>
      </c>
      <c r="N182" s="25" t="s">
        <v>62</v>
      </c>
      <c r="O182" s="25" t="s">
        <v>63</v>
      </c>
      <c r="P182" s="25" t="s">
        <v>64</v>
      </c>
      <c r="Q182" s="25" t="s">
        <v>65</v>
      </c>
      <c r="R182" s="25" t="s">
        <v>66</v>
      </c>
      <c r="S182" s="25" t="s">
        <v>67</v>
      </c>
      <c r="T182" s="25" t="s">
        <v>68</v>
      </c>
    </row>
    <row r="183" spans="1:41" ht="15.75" customHeight="1" outlineLevel="2" x14ac:dyDescent="0.25">
      <c r="B183" s="102" t="s">
        <v>134</v>
      </c>
      <c r="C183" s="13" t="s">
        <v>187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25000</v>
      </c>
      <c r="M183" s="30">
        <v>50000</v>
      </c>
      <c r="N183" s="30">
        <v>50000</v>
      </c>
      <c r="O183" s="30">
        <v>50000</v>
      </c>
      <c r="P183" s="36">
        <f t="shared" ref="P183:P184" si="54">O183*3</f>
        <v>150000</v>
      </c>
      <c r="Q183" s="36">
        <f t="shared" ref="Q183:Q184" si="55">O183*3</f>
        <v>150000</v>
      </c>
      <c r="R183" s="36">
        <f>O183*3</f>
        <v>150000</v>
      </c>
      <c r="S183" s="36">
        <f t="shared" ref="S183:S184" si="56">O183*3</f>
        <v>150000</v>
      </c>
      <c r="T183" s="36">
        <f t="shared" ref="T183:T184" si="57">O183*12</f>
        <v>600000</v>
      </c>
      <c r="U183" s="89" t="s">
        <v>194</v>
      </c>
    </row>
    <row r="184" spans="1:41" ht="15.75" customHeight="1" outlineLevel="2" x14ac:dyDescent="0.25">
      <c r="B184" s="101" t="s">
        <v>136</v>
      </c>
      <c r="C184" s="13" t="s">
        <v>187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0">
        <f t="shared" ref="I184:O184" si="58">1000*3</f>
        <v>3000</v>
      </c>
      <c r="J184" s="40">
        <f t="shared" si="58"/>
        <v>3000</v>
      </c>
      <c r="K184" s="40">
        <f t="shared" si="58"/>
        <v>3000</v>
      </c>
      <c r="L184" s="40">
        <f t="shared" si="58"/>
        <v>3000</v>
      </c>
      <c r="M184" s="40">
        <f t="shared" si="58"/>
        <v>3000</v>
      </c>
      <c r="N184" s="40">
        <f t="shared" si="58"/>
        <v>3000</v>
      </c>
      <c r="O184" s="40">
        <f t="shared" si="58"/>
        <v>3000</v>
      </c>
      <c r="P184" s="40">
        <f t="shared" si="54"/>
        <v>9000</v>
      </c>
      <c r="Q184" s="40">
        <f t="shared" si="55"/>
        <v>9000</v>
      </c>
      <c r="R184" s="40">
        <f t="shared" ref="R184" si="59">O184*3</f>
        <v>9000</v>
      </c>
      <c r="S184" s="40">
        <f t="shared" si="56"/>
        <v>9000</v>
      </c>
      <c r="T184" s="40">
        <f t="shared" si="57"/>
        <v>36000</v>
      </c>
      <c r="U184" s="89" t="s">
        <v>195</v>
      </c>
    </row>
    <row r="185" spans="1:41" ht="15.75" customHeight="1" outlineLevel="1" x14ac:dyDescent="0.25">
      <c r="C185" s="13"/>
    </row>
    <row r="186" spans="1:41" ht="15.75" customHeight="1" outlineLevel="1" x14ac:dyDescent="0.3">
      <c r="B186" s="98" t="s">
        <v>138</v>
      </c>
      <c r="C186" s="13"/>
      <c r="D186" s="25" t="s">
        <v>52</v>
      </c>
      <c r="E186" s="25" t="s">
        <v>53</v>
      </c>
      <c r="F186" s="25" t="s">
        <v>54</v>
      </c>
      <c r="G186" s="25" t="s">
        <v>55</v>
      </c>
      <c r="H186" s="25" t="s">
        <v>56</v>
      </c>
      <c r="I186" s="25" t="s">
        <v>57</v>
      </c>
      <c r="J186" s="25" t="s">
        <v>58</v>
      </c>
      <c r="K186" s="25" t="s">
        <v>59</v>
      </c>
      <c r="L186" s="25" t="s">
        <v>60</v>
      </c>
      <c r="M186" s="25" t="s">
        <v>61</v>
      </c>
      <c r="N186" s="25" t="s">
        <v>62</v>
      </c>
      <c r="O186" s="25" t="s">
        <v>63</v>
      </c>
      <c r="P186" s="25" t="s">
        <v>64</v>
      </c>
      <c r="Q186" s="25" t="s">
        <v>65</v>
      </c>
      <c r="R186" s="25" t="s">
        <v>66</v>
      </c>
      <c r="S186" s="25" t="s">
        <v>67</v>
      </c>
      <c r="T186" s="25" t="s">
        <v>68</v>
      </c>
    </row>
    <row r="187" spans="1:41" ht="15.75" customHeight="1" outlineLevel="2" x14ac:dyDescent="0.25">
      <c r="B187" s="102" t="s">
        <v>139</v>
      </c>
      <c r="C187" s="13" t="s">
        <v>187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93">
        <f t="shared" ref="I187:O187" si="60">I166*1000</f>
        <v>1000</v>
      </c>
      <c r="J187" s="93">
        <f t="shared" si="60"/>
        <v>1000</v>
      </c>
      <c r="K187" s="93">
        <f t="shared" si="60"/>
        <v>1000</v>
      </c>
      <c r="L187" s="93">
        <f t="shared" si="60"/>
        <v>1000</v>
      </c>
      <c r="M187" s="93">
        <f t="shared" si="60"/>
        <v>1000</v>
      </c>
      <c r="N187" s="93">
        <f t="shared" si="60"/>
        <v>1000</v>
      </c>
      <c r="O187" s="93">
        <f t="shared" si="60"/>
        <v>1000</v>
      </c>
      <c r="P187" s="93">
        <f>P166*1000*3</f>
        <v>6000</v>
      </c>
      <c r="Q187" s="93">
        <f>Q166*1000*3</f>
        <v>6000</v>
      </c>
      <c r="R187" s="93">
        <f>R166*1000*3</f>
        <v>6000</v>
      </c>
      <c r="S187" s="93">
        <f>S166*1000*3</f>
        <v>6000</v>
      </c>
      <c r="T187" s="93">
        <f>T166*1000*12</f>
        <v>24000</v>
      </c>
      <c r="U187" s="89" t="s">
        <v>196</v>
      </c>
    </row>
    <row r="188" spans="1:41" ht="15.75" customHeight="1" outlineLevel="1" x14ac:dyDescent="0.3">
      <c r="C188" s="13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</row>
    <row r="189" spans="1:41" ht="15.75" customHeight="1" outlineLevel="1" x14ac:dyDescent="0.25">
      <c r="C189" s="13"/>
    </row>
    <row r="190" spans="1:41" ht="15.75" customHeight="1" x14ac:dyDescent="0.4">
      <c r="A190" s="18"/>
      <c r="B190" s="107" t="s">
        <v>197</v>
      </c>
      <c r="C190" s="116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</row>
    <row r="191" spans="1:41" ht="15.75" customHeight="1" outlineLevel="1" x14ac:dyDescent="0.25">
      <c r="C191" s="13"/>
    </row>
    <row r="192" spans="1:41" ht="15.75" customHeight="1" outlineLevel="1" x14ac:dyDescent="0.3">
      <c r="B192" s="98" t="s">
        <v>127</v>
      </c>
      <c r="C192" s="13"/>
      <c r="D192" s="25" t="s">
        <v>52</v>
      </c>
      <c r="E192" s="25" t="s">
        <v>53</v>
      </c>
      <c r="F192" s="25" t="s">
        <v>54</v>
      </c>
      <c r="G192" s="25" t="s">
        <v>55</v>
      </c>
      <c r="H192" s="25" t="s">
        <v>56</v>
      </c>
      <c r="I192" s="25" t="s">
        <v>57</v>
      </c>
      <c r="J192" s="37" t="s">
        <v>58</v>
      </c>
      <c r="K192" s="25" t="s">
        <v>59</v>
      </c>
      <c r="L192" s="25" t="s">
        <v>60</v>
      </c>
      <c r="M192" s="25" t="s">
        <v>61</v>
      </c>
      <c r="N192" s="25" t="s">
        <v>62</v>
      </c>
      <c r="O192" s="25" t="s">
        <v>63</v>
      </c>
      <c r="P192" s="25" t="s">
        <v>64</v>
      </c>
      <c r="Q192" s="25" t="s">
        <v>65</v>
      </c>
      <c r="R192" s="25" t="s">
        <v>66</v>
      </c>
      <c r="S192" s="25" t="s">
        <v>67</v>
      </c>
      <c r="T192" s="25" t="s">
        <v>68</v>
      </c>
    </row>
    <row r="193" spans="2:21" ht="12.5" outlineLevel="2" x14ac:dyDescent="0.25">
      <c r="B193" s="9" t="s">
        <v>128</v>
      </c>
      <c r="C193" s="13" t="s">
        <v>45</v>
      </c>
      <c r="D193" s="92">
        <v>0.33333333333333331</v>
      </c>
      <c r="E193" s="92">
        <v>0.33333333333333331</v>
      </c>
      <c r="F193" s="92">
        <v>0.33333333333333331</v>
      </c>
      <c r="G193" s="92">
        <v>0.33333333333333331</v>
      </c>
      <c r="H193" s="92">
        <v>0.33333333333333331</v>
      </c>
      <c r="I193" s="92">
        <v>0.33333333333333331</v>
      </c>
      <c r="J193" s="92">
        <v>0.33333333333333331</v>
      </c>
      <c r="K193" s="92">
        <v>0.33333333333333331</v>
      </c>
      <c r="L193" s="92">
        <v>0.33333333333333331</v>
      </c>
      <c r="M193" s="92">
        <v>0.33333333333333331</v>
      </c>
      <c r="N193" s="92">
        <v>0.33333333333333331</v>
      </c>
      <c r="O193" s="92">
        <v>0.33333333333333331</v>
      </c>
      <c r="P193" s="92">
        <v>0.33333333333333331</v>
      </c>
      <c r="Q193" s="92">
        <v>0.33333333333333331</v>
      </c>
      <c r="R193" s="92">
        <v>0.33333333333333331</v>
      </c>
      <c r="S193" s="92">
        <v>0.33333333333333331</v>
      </c>
      <c r="T193" s="92">
        <v>0.33333333333333331</v>
      </c>
      <c r="U193" s="89" t="s">
        <v>116</v>
      </c>
    </row>
    <row r="194" spans="2:21" ht="12.5" outlineLevel="2" x14ac:dyDescent="0.25">
      <c r="B194" s="9" t="s">
        <v>128</v>
      </c>
      <c r="C194" s="13" t="s">
        <v>82</v>
      </c>
      <c r="D194" s="39">
        <f t="shared" ref="D194:T194" si="61">D109*D193</f>
        <v>0</v>
      </c>
      <c r="E194" s="39">
        <f t="shared" si="61"/>
        <v>0</v>
      </c>
      <c r="F194" s="39">
        <f t="shared" si="61"/>
        <v>0</v>
      </c>
      <c r="G194" s="39">
        <f t="shared" si="61"/>
        <v>0</v>
      </c>
      <c r="H194" s="39">
        <f t="shared" si="61"/>
        <v>0</v>
      </c>
      <c r="I194" s="39">
        <f t="shared" si="61"/>
        <v>0</v>
      </c>
      <c r="J194" s="39">
        <f t="shared" si="61"/>
        <v>0</v>
      </c>
      <c r="K194" s="39">
        <f t="shared" si="61"/>
        <v>0</v>
      </c>
      <c r="L194" s="39">
        <f t="shared" si="61"/>
        <v>0</v>
      </c>
      <c r="M194" s="39">
        <f t="shared" si="61"/>
        <v>0</v>
      </c>
      <c r="N194" s="39">
        <f t="shared" si="61"/>
        <v>0</v>
      </c>
      <c r="O194" s="39">
        <f t="shared" si="61"/>
        <v>0</v>
      </c>
      <c r="P194" s="39">
        <f t="shared" si="61"/>
        <v>0</v>
      </c>
      <c r="Q194" s="39">
        <f t="shared" si="61"/>
        <v>0</v>
      </c>
      <c r="R194" s="39">
        <f t="shared" si="61"/>
        <v>0</v>
      </c>
      <c r="S194" s="39">
        <f t="shared" si="61"/>
        <v>0</v>
      </c>
      <c r="T194" s="39">
        <f t="shared" si="61"/>
        <v>716040</v>
      </c>
    </row>
    <row r="195" spans="2:21" ht="12.5" outlineLevel="2" x14ac:dyDescent="0.25">
      <c r="B195" s="9" t="s">
        <v>129</v>
      </c>
      <c r="C195" s="13" t="s">
        <v>45</v>
      </c>
      <c r="D195" s="92">
        <v>0.33333333333333331</v>
      </c>
      <c r="E195" s="92">
        <v>0.33333333333333331</v>
      </c>
      <c r="F195" s="92">
        <v>0.33333333333333331</v>
      </c>
      <c r="G195" s="92">
        <v>0.33333333333333331</v>
      </c>
      <c r="H195" s="92">
        <v>0.33333333333333331</v>
      </c>
      <c r="I195" s="92">
        <v>0.33333333333333331</v>
      </c>
      <c r="J195" s="92">
        <v>0.33333333333333331</v>
      </c>
      <c r="K195" s="92">
        <v>0.33333333333333331</v>
      </c>
      <c r="L195" s="92">
        <v>0.33333333333333331</v>
      </c>
      <c r="M195" s="92">
        <v>0.33333333333333331</v>
      </c>
      <c r="N195" s="92">
        <v>0.33333333333333331</v>
      </c>
      <c r="O195" s="92">
        <v>0.33333333333333331</v>
      </c>
      <c r="P195" s="92">
        <v>0.33333333333333331</v>
      </c>
      <c r="Q195" s="92">
        <v>0.33333333333333331</v>
      </c>
      <c r="R195" s="92">
        <v>0.33333333333333331</v>
      </c>
      <c r="S195" s="92">
        <v>0.33333333333333331</v>
      </c>
      <c r="T195" s="92">
        <v>0.33333333333333331</v>
      </c>
      <c r="U195" s="89" t="s">
        <v>116</v>
      </c>
    </row>
    <row r="196" spans="2:21" ht="12.5" outlineLevel="2" x14ac:dyDescent="0.25">
      <c r="B196" s="9" t="s">
        <v>129</v>
      </c>
      <c r="C196" s="13" t="s">
        <v>82</v>
      </c>
      <c r="D196" s="39">
        <f t="shared" ref="D196:T196" si="62">D109*D195</f>
        <v>0</v>
      </c>
      <c r="E196" s="39">
        <f t="shared" si="62"/>
        <v>0</v>
      </c>
      <c r="F196" s="39">
        <f t="shared" si="62"/>
        <v>0</v>
      </c>
      <c r="G196" s="39">
        <f t="shared" si="62"/>
        <v>0</v>
      </c>
      <c r="H196" s="39">
        <f t="shared" si="62"/>
        <v>0</v>
      </c>
      <c r="I196" s="39">
        <f t="shared" si="62"/>
        <v>0</v>
      </c>
      <c r="J196" s="39">
        <f t="shared" si="62"/>
        <v>0</v>
      </c>
      <c r="K196" s="39">
        <f t="shared" si="62"/>
        <v>0</v>
      </c>
      <c r="L196" s="39">
        <f t="shared" si="62"/>
        <v>0</v>
      </c>
      <c r="M196" s="39">
        <f t="shared" si="62"/>
        <v>0</v>
      </c>
      <c r="N196" s="39">
        <f t="shared" si="62"/>
        <v>0</v>
      </c>
      <c r="O196" s="39">
        <f t="shared" si="62"/>
        <v>0</v>
      </c>
      <c r="P196" s="39">
        <f t="shared" si="62"/>
        <v>0</v>
      </c>
      <c r="Q196" s="39">
        <f t="shared" si="62"/>
        <v>0</v>
      </c>
      <c r="R196" s="39">
        <f t="shared" si="62"/>
        <v>0</v>
      </c>
      <c r="S196" s="39">
        <f t="shared" si="62"/>
        <v>0</v>
      </c>
      <c r="T196" s="39">
        <f t="shared" si="62"/>
        <v>716040</v>
      </c>
    </row>
    <row r="197" spans="2:21" ht="15.75" customHeight="1" outlineLevel="1" x14ac:dyDescent="0.3">
      <c r="B197" s="98"/>
      <c r="C197" s="13"/>
    </row>
    <row r="198" spans="2:21" ht="15.75" customHeight="1" outlineLevel="1" x14ac:dyDescent="0.3">
      <c r="B198" s="105" t="s">
        <v>174</v>
      </c>
      <c r="C198" s="13"/>
    </row>
    <row r="199" spans="2:21" ht="15.75" customHeight="1" outlineLevel="2" x14ac:dyDescent="0.3">
      <c r="B199" s="104" t="s">
        <v>175</v>
      </c>
      <c r="C199" s="13"/>
      <c r="D199" s="25" t="s">
        <v>52</v>
      </c>
      <c r="E199" s="25" t="s">
        <v>53</v>
      </c>
      <c r="F199" s="25" t="s">
        <v>54</v>
      </c>
      <c r="G199" s="25" t="s">
        <v>55</v>
      </c>
      <c r="H199" s="25" t="s">
        <v>56</v>
      </c>
      <c r="I199" s="25" t="s">
        <v>57</v>
      </c>
      <c r="J199" s="25" t="s">
        <v>58</v>
      </c>
      <c r="K199" s="25" t="s">
        <v>59</v>
      </c>
      <c r="L199" s="25" t="s">
        <v>60</v>
      </c>
      <c r="M199" s="25" t="s">
        <v>61</v>
      </c>
      <c r="N199" s="25" t="s">
        <v>62</v>
      </c>
      <c r="O199" s="25" t="s">
        <v>63</v>
      </c>
      <c r="P199" s="25" t="s">
        <v>64</v>
      </c>
      <c r="Q199" s="25" t="s">
        <v>65</v>
      </c>
      <c r="R199" s="25" t="s">
        <v>66</v>
      </c>
      <c r="S199" s="25" t="s">
        <v>67</v>
      </c>
      <c r="T199" s="25" t="s">
        <v>68</v>
      </c>
    </row>
    <row r="200" spans="2:21" ht="15.75" customHeight="1" outlineLevel="2" x14ac:dyDescent="0.25">
      <c r="B200" s="9" t="s">
        <v>198</v>
      </c>
      <c r="C200" s="13" t="s">
        <v>151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1</v>
      </c>
      <c r="O200" s="42">
        <v>1</v>
      </c>
      <c r="P200" s="42">
        <v>1</v>
      </c>
      <c r="Q200" s="42">
        <v>2</v>
      </c>
      <c r="R200" s="42">
        <v>2</v>
      </c>
      <c r="S200" s="42">
        <v>3</v>
      </c>
      <c r="T200" s="42">
        <v>3</v>
      </c>
      <c r="U200" s="89" t="s">
        <v>177</v>
      </c>
    </row>
    <row r="201" spans="2:21" ht="15.75" customHeight="1" outlineLevel="2" x14ac:dyDescent="0.25">
      <c r="B201" s="102" t="s">
        <v>155</v>
      </c>
      <c r="C201" s="13" t="s">
        <v>151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1</v>
      </c>
      <c r="M201" s="42">
        <v>1</v>
      </c>
      <c r="N201" s="42">
        <v>1</v>
      </c>
      <c r="O201" s="42">
        <v>1</v>
      </c>
      <c r="P201" s="42">
        <v>1</v>
      </c>
      <c r="Q201" s="42">
        <v>2</v>
      </c>
      <c r="R201" s="42">
        <v>2</v>
      </c>
      <c r="S201" s="42">
        <v>3</v>
      </c>
      <c r="T201" s="42">
        <v>3</v>
      </c>
      <c r="U201" s="89" t="s">
        <v>177</v>
      </c>
    </row>
    <row r="202" spans="2:21" ht="15.75" customHeight="1" outlineLevel="2" x14ac:dyDescent="0.25">
      <c r="B202" s="102" t="s">
        <v>156</v>
      </c>
      <c r="C202" s="13" t="s">
        <v>151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1</v>
      </c>
      <c r="M202" s="42">
        <v>1</v>
      </c>
      <c r="N202" s="42">
        <v>1</v>
      </c>
      <c r="O202" s="42">
        <v>1</v>
      </c>
      <c r="P202" s="42">
        <v>1</v>
      </c>
      <c r="Q202" s="42">
        <v>2</v>
      </c>
      <c r="R202" s="42">
        <v>2</v>
      </c>
      <c r="S202" s="42">
        <v>3</v>
      </c>
      <c r="T202" s="42">
        <v>3</v>
      </c>
      <c r="U202" s="89" t="s">
        <v>177</v>
      </c>
    </row>
    <row r="203" spans="2:21" ht="15.75" customHeight="1" outlineLevel="2" x14ac:dyDescent="0.25">
      <c r="B203" s="102" t="s">
        <v>179</v>
      </c>
      <c r="C203" s="13" t="s">
        <v>151</v>
      </c>
      <c r="D203" s="42">
        <v>0</v>
      </c>
      <c r="E203" s="42">
        <v>0</v>
      </c>
      <c r="F203" s="42">
        <v>0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1</v>
      </c>
      <c r="M203" s="42">
        <v>1</v>
      </c>
      <c r="N203" s="42">
        <v>1</v>
      </c>
      <c r="O203" s="42">
        <v>1</v>
      </c>
      <c r="P203" s="42">
        <v>1</v>
      </c>
      <c r="Q203" s="42">
        <v>1</v>
      </c>
      <c r="R203" s="42">
        <v>1</v>
      </c>
      <c r="S203" s="42">
        <v>1</v>
      </c>
      <c r="T203" s="42">
        <v>1</v>
      </c>
      <c r="U203" s="89" t="s">
        <v>177</v>
      </c>
    </row>
    <row r="204" spans="2:21" ht="15.75" customHeight="1" outlineLevel="2" x14ac:dyDescent="0.25">
      <c r="C204" s="13"/>
    </row>
    <row r="205" spans="2:21" ht="15.75" customHeight="1" outlineLevel="2" x14ac:dyDescent="0.3">
      <c r="B205" s="104" t="s">
        <v>180</v>
      </c>
      <c r="C205" s="13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</row>
    <row r="206" spans="2:21" ht="15.75" customHeight="1" outlineLevel="2" x14ac:dyDescent="0.25">
      <c r="B206" s="9" t="s">
        <v>181</v>
      </c>
      <c r="C206" s="13" t="s">
        <v>161</v>
      </c>
      <c r="D206" s="30">
        <v>3185.1942043102399</v>
      </c>
      <c r="E206" s="85" t="s">
        <v>199</v>
      </c>
      <c r="F206" s="32"/>
      <c r="H206" s="32"/>
      <c r="I206" s="32"/>
      <c r="J206" s="32"/>
      <c r="K206" s="32"/>
      <c r="L206" s="32"/>
      <c r="M206" s="32"/>
      <c r="N206" s="32"/>
      <c r="O206" s="32"/>
      <c r="U206" s="18" t="s">
        <v>183</v>
      </c>
    </row>
    <row r="207" spans="2:21" ht="15.75" customHeight="1" outlineLevel="2" x14ac:dyDescent="0.25">
      <c r="B207" s="102" t="s">
        <v>167</v>
      </c>
      <c r="C207" s="13" t="s">
        <v>161</v>
      </c>
      <c r="D207" s="30">
        <v>10417.630585656885</v>
      </c>
      <c r="E207" s="85" t="s">
        <v>200</v>
      </c>
      <c r="F207" s="32"/>
      <c r="H207" s="32"/>
      <c r="I207" s="32"/>
      <c r="J207" s="32"/>
      <c r="K207" s="32"/>
      <c r="L207" s="32"/>
      <c r="M207" s="32"/>
      <c r="N207" s="32"/>
      <c r="O207" s="32"/>
      <c r="U207" s="18" t="s">
        <v>183</v>
      </c>
    </row>
    <row r="208" spans="2:21" ht="15.75" customHeight="1" outlineLevel="2" x14ac:dyDescent="0.25">
      <c r="B208" s="102" t="s">
        <v>169</v>
      </c>
      <c r="C208" s="13" t="s">
        <v>161</v>
      </c>
      <c r="D208" s="30">
        <v>4032.6311944478271</v>
      </c>
      <c r="E208" s="85" t="s">
        <v>201</v>
      </c>
      <c r="F208" s="32"/>
      <c r="H208" s="32"/>
      <c r="I208" s="32"/>
      <c r="J208" s="32"/>
      <c r="K208" s="32"/>
      <c r="L208" s="32"/>
      <c r="M208" s="32"/>
      <c r="N208" s="32"/>
      <c r="O208" s="32"/>
      <c r="U208" s="18" t="s">
        <v>183</v>
      </c>
    </row>
    <row r="209" spans="2:22" ht="15.75" customHeight="1" outlineLevel="2" x14ac:dyDescent="0.25">
      <c r="B209" s="102" t="s">
        <v>179</v>
      </c>
      <c r="C209" s="13" t="s">
        <v>161</v>
      </c>
      <c r="D209" s="30">
        <v>4514.7936198709367</v>
      </c>
      <c r="E209" s="85" t="s">
        <v>202</v>
      </c>
      <c r="F209" s="32"/>
      <c r="H209" s="32"/>
      <c r="I209" s="32"/>
      <c r="J209" s="32"/>
      <c r="K209" s="32"/>
      <c r="L209" s="32"/>
      <c r="M209" s="32"/>
      <c r="N209" s="32"/>
      <c r="O209" s="32"/>
      <c r="U209" s="18" t="s">
        <v>183</v>
      </c>
    </row>
    <row r="210" spans="2:22" ht="15.75" customHeight="1" outlineLevel="1" x14ac:dyDescent="0.25">
      <c r="C210" s="13"/>
    </row>
    <row r="211" spans="2:22" ht="15.75" customHeight="1" outlineLevel="1" x14ac:dyDescent="0.3">
      <c r="B211" s="98" t="s">
        <v>130</v>
      </c>
      <c r="C211" s="13"/>
      <c r="D211" s="25" t="s">
        <v>52</v>
      </c>
      <c r="E211" s="25" t="s">
        <v>53</v>
      </c>
      <c r="F211" s="25" t="s">
        <v>54</v>
      </c>
      <c r="G211" s="25" t="s">
        <v>55</v>
      </c>
      <c r="H211" s="25" t="s">
        <v>56</v>
      </c>
      <c r="I211" s="25" t="s">
        <v>57</v>
      </c>
      <c r="J211" s="25" t="s">
        <v>58</v>
      </c>
      <c r="K211" s="25" t="s">
        <v>59</v>
      </c>
      <c r="L211" s="25" t="s">
        <v>60</v>
      </c>
      <c r="M211" s="25" t="s">
        <v>61</v>
      </c>
      <c r="N211" s="25" t="s">
        <v>62</v>
      </c>
      <c r="O211" s="25" t="s">
        <v>63</v>
      </c>
      <c r="P211" s="25" t="s">
        <v>64</v>
      </c>
      <c r="Q211" s="25" t="s">
        <v>65</v>
      </c>
      <c r="R211" s="25" t="s">
        <v>66</v>
      </c>
      <c r="S211" s="25" t="s">
        <v>67</v>
      </c>
      <c r="T211" s="25" t="s">
        <v>68</v>
      </c>
    </row>
    <row r="212" spans="2:22" ht="15.75" customHeight="1" outlineLevel="2" x14ac:dyDescent="0.25">
      <c r="B212" s="102" t="s">
        <v>131</v>
      </c>
      <c r="C212" s="13" t="s">
        <v>187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6">
        <f>750*L201*1.046</f>
        <v>784.5</v>
      </c>
      <c r="M212" s="36">
        <f t="shared" ref="M212:O212" si="63">750*M201*1.046</f>
        <v>784.5</v>
      </c>
      <c r="N212" s="36">
        <f t="shared" si="63"/>
        <v>784.5</v>
      </c>
      <c r="O212" s="36">
        <f t="shared" si="63"/>
        <v>784.5</v>
      </c>
      <c r="P212" s="36">
        <f>750*P201*1.046*3</f>
        <v>2353.5</v>
      </c>
      <c r="Q212" s="36">
        <f>750*Q201*3*1.046</f>
        <v>4707</v>
      </c>
      <c r="R212" s="36">
        <f>750*R201*3*1.046</f>
        <v>4707</v>
      </c>
      <c r="S212" s="36">
        <f>750*S201*3*1.046</f>
        <v>7060.5</v>
      </c>
      <c r="T212" s="36">
        <f>750*T201*12*1.046</f>
        <v>28242</v>
      </c>
      <c r="U212" s="15" t="s">
        <v>203</v>
      </c>
    </row>
    <row r="213" spans="2:22" ht="15.75" customHeight="1" outlineLevel="2" x14ac:dyDescent="0.25">
      <c r="B213" s="1" t="s">
        <v>189</v>
      </c>
      <c r="C213" s="13" t="s">
        <v>190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6">
        <f>50*SUM(L200:L203)</f>
        <v>150</v>
      </c>
      <c r="M213" s="36">
        <f t="shared" ref="M213:O213" si="64">50*SUM(M200:M203)</f>
        <v>150</v>
      </c>
      <c r="N213" s="36">
        <f t="shared" si="64"/>
        <v>200</v>
      </c>
      <c r="O213" s="36">
        <f t="shared" si="64"/>
        <v>200</v>
      </c>
      <c r="P213" s="36">
        <f t="shared" ref="P213:S213" si="65">50*SUM(P200:P203)*3</f>
        <v>600</v>
      </c>
      <c r="Q213" s="36">
        <f t="shared" si="65"/>
        <v>1050</v>
      </c>
      <c r="R213" s="36">
        <f t="shared" si="65"/>
        <v>1050</v>
      </c>
      <c r="S213" s="36">
        <f t="shared" si="65"/>
        <v>1500</v>
      </c>
      <c r="T213" s="36">
        <f>50*SUM(T200:T203)*12</f>
        <v>6000</v>
      </c>
      <c r="U213" s="15" t="s">
        <v>204</v>
      </c>
      <c r="V213" s="15"/>
    </row>
    <row r="214" spans="2:22" ht="15.75" customHeight="1" outlineLevel="2" x14ac:dyDescent="0.25">
      <c r="B214" s="106" t="s">
        <v>192</v>
      </c>
      <c r="C214" s="13" t="s">
        <v>187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6">
        <f>1000*L201</f>
        <v>1000</v>
      </c>
      <c r="M214" s="36">
        <f t="shared" ref="M214:N214" si="66">1000*M201</f>
        <v>1000</v>
      </c>
      <c r="N214" s="36">
        <f t="shared" si="66"/>
        <v>1000</v>
      </c>
      <c r="O214" s="36">
        <f>1000*O201</f>
        <v>1000</v>
      </c>
      <c r="P214" s="36">
        <f>1000*P201*3</f>
        <v>3000</v>
      </c>
      <c r="Q214" s="36">
        <f>1000*Q201*3</f>
        <v>6000</v>
      </c>
      <c r="R214" s="36">
        <f t="shared" ref="R214:S214" si="67">1000*R201*3</f>
        <v>6000</v>
      </c>
      <c r="S214" s="36">
        <f t="shared" si="67"/>
        <v>9000</v>
      </c>
      <c r="T214" s="36">
        <f>1000*T201*12</f>
        <v>36000</v>
      </c>
      <c r="U214" s="15" t="s">
        <v>193</v>
      </c>
    </row>
    <row r="215" spans="2:22" ht="15.75" customHeight="1" outlineLevel="1" x14ac:dyDescent="0.25">
      <c r="C215" s="13"/>
    </row>
    <row r="216" spans="2:22" ht="15.75" customHeight="1" outlineLevel="1" x14ac:dyDescent="0.25">
      <c r="C216" s="13"/>
      <c r="U216" s="18"/>
    </row>
    <row r="217" spans="2:22" ht="15.75" customHeight="1" outlineLevel="2" x14ac:dyDescent="0.3">
      <c r="B217" s="98" t="s">
        <v>133</v>
      </c>
      <c r="C217" s="13"/>
      <c r="D217" s="25" t="s">
        <v>52</v>
      </c>
      <c r="E217" s="25" t="s">
        <v>53</v>
      </c>
      <c r="F217" s="25" t="s">
        <v>54</v>
      </c>
      <c r="G217" s="25" t="s">
        <v>55</v>
      </c>
      <c r="H217" s="25" t="s">
        <v>56</v>
      </c>
      <c r="I217" s="25" t="s">
        <v>57</v>
      </c>
      <c r="J217" s="25" t="s">
        <v>58</v>
      </c>
      <c r="K217" s="25" t="s">
        <v>59</v>
      </c>
      <c r="L217" s="25" t="s">
        <v>60</v>
      </c>
      <c r="M217" s="25" t="s">
        <v>61</v>
      </c>
      <c r="N217" s="25" t="s">
        <v>62</v>
      </c>
      <c r="O217" s="25" t="s">
        <v>63</v>
      </c>
      <c r="P217" s="25" t="s">
        <v>64</v>
      </c>
      <c r="Q217" s="25" t="s">
        <v>65</v>
      </c>
      <c r="R217" s="25" t="s">
        <v>66</v>
      </c>
      <c r="S217" s="25" t="s">
        <v>67</v>
      </c>
      <c r="T217" s="25" t="s">
        <v>68</v>
      </c>
    </row>
    <row r="218" spans="2:22" ht="15.75" customHeight="1" outlineLevel="2" x14ac:dyDescent="0.25">
      <c r="B218" s="102" t="s">
        <v>134</v>
      </c>
      <c r="C218" s="13" t="s">
        <v>187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150000</v>
      </c>
      <c r="O218" s="30">
        <v>150000</v>
      </c>
      <c r="P218" s="38">
        <v>150000</v>
      </c>
      <c r="Q218" s="38">
        <v>150000</v>
      </c>
      <c r="R218" s="38">
        <f t="shared" ref="R218:S218" si="68">50000*3</f>
        <v>150000</v>
      </c>
      <c r="S218" s="38">
        <f t="shared" si="68"/>
        <v>150000</v>
      </c>
      <c r="T218" s="38">
        <f>L218*12</f>
        <v>0</v>
      </c>
      <c r="U218" s="89" t="s">
        <v>205</v>
      </c>
    </row>
    <row r="219" spans="2:22" ht="15.75" customHeight="1" outlineLevel="2" x14ac:dyDescent="0.25">
      <c r="B219" s="101" t="s">
        <v>136</v>
      </c>
      <c r="C219" s="13" t="s">
        <v>187</v>
      </c>
      <c r="D219" s="44">
        <v>0</v>
      </c>
      <c r="E219" s="44">
        <v>0</v>
      </c>
      <c r="F219" s="44">
        <v>0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0">
        <f t="shared" ref="M219:O219" si="69">1000*3</f>
        <v>3000</v>
      </c>
      <c r="N219" s="40">
        <f t="shared" si="69"/>
        <v>3000</v>
      </c>
      <c r="O219" s="40">
        <f t="shared" si="69"/>
        <v>3000</v>
      </c>
      <c r="P219" s="40">
        <f t="shared" ref="P219:S219" si="70">1000*3*3</f>
        <v>9000</v>
      </c>
      <c r="Q219" s="40">
        <f t="shared" si="70"/>
        <v>9000</v>
      </c>
      <c r="R219" s="40">
        <f t="shared" si="70"/>
        <v>9000</v>
      </c>
      <c r="S219" s="40">
        <f t="shared" si="70"/>
        <v>9000</v>
      </c>
      <c r="T219" s="40">
        <f>3000*12</f>
        <v>36000</v>
      </c>
      <c r="U219" s="89" t="s">
        <v>206</v>
      </c>
    </row>
    <row r="220" spans="2:22" ht="15.75" customHeight="1" outlineLevel="1" x14ac:dyDescent="0.25">
      <c r="C220" s="13"/>
    </row>
    <row r="221" spans="2:22" ht="15.75" customHeight="1" outlineLevel="1" x14ac:dyDescent="0.3">
      <c r="B221" s="98" t="s">
        <v>138</v>
      </c>
      <c r="C221" s="13"/>
      <c r="D221" s="25" t="s">
        <v>52</v>
      </c>
      <c r="E221" s="25" t="s">
        <v>53</v>
      </c>
      <c r="F221" s="25" t="s">
        <v>54</v>
      </c>
      <c r="G221" s="25" t="s">
        <v>55</v>
      </c>
      <c r="H221" s="25" t="s">
        <v>56</v>
      </c>
      <c r="I221" s="25" t="s">
        <v>57</v>
      </c>
      <c r="J221" s="25" t="s">
        <v>58</v>
      </c>
      <c r="K221" s="25" t="s">
        <v>59</v>
      </c>
      <c r="L221" s="25" t="s">
        <v>60</v>
      </c>
      <c r="M221" s="25" t="s">
        <v>61</v>
      </c>
      <c r="N221" s="25" t="s">
        <v>62</v>
      </c>
      <c r="O221" s="25" t="s">
        <v>63</v>
      </c>
      <c r="P221" s="25" t="s">
        <v>64</v>
      </c>
      <c r="Q221" s="25" t="s">
        <v>65</v>
      </c>
      <c r="R221" s="25" t="s">
        <v>66</v>
      </c>
      <c r="S221" s="25" t="s">
        <v>67</v>
      </c>
      <c r="T221" s="25" t="s">
        <v>68</v>
      </c>
    </row>
    <row r="222" spans="2:22" ht="15.75" customHeight="1" outlineLevel="2" x14ac:dyDescent="0.25">
      <c r="B222" s="102" t="s">
        <v>139</v>
      </c>
      <c r="C222" s="13" t="s">
        <v>187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93">
        <f>L201*1000</f>
        <v>1000</v>
      </c>
      <c r="M222" s="93">
        <f t="shared" ref="M222:O222" si="71">M201*1000</f>
        <v>1000</v>
      </c>
      <c r="N222" s="93">
        <f t="shared" si="71"/>
        <v>1000</v>
      </c>
      <c r="O222" s="93">
        <f t="shared" si="71"/>
        <v>1000</v>
      </c>
      <c r="P222" s="36">
        <f>1000*P201*3</f>
        <v>3000</v>
      </c>
      <c r="Q222" s="36">
        <f t="shared" ref="Q222:R222" si="72">1000*Q201*3</f>
        <v>6000</v>
      </c>
      <c r="R222" s="36">
        <f t="shared" si="72"/>
        <v>6000</v>
      </c>
      <c r="S222" s="36">
        <f>1000*S201*3</f>
        <v>9000</v>
      </c>
      <c r="T222" s="36">
        <f>1000*T201*12</f>
        <v>36000</v>
      </c>
      <c r="U222" t="s">
        <v>207</v>
      </c>
    </row>
    <row r="223" spans="2:22" ht="15.75" customHeight="1" outlineLevel="1" x14ac:dyDescent="0.3">
      <c r="C223" s="13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</row>
    <row r="224" spans="2:22" ht="15.75" customHeight="1" outlineLevel="1" x14ac:dyDescent="0.3">
      <c r="B224" s="98"/>
      <c r="C224" s="13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U224" s="18"/>
    </row>
    <row r="225" spans="1:41" ht="15.75" customHeight="1" outlineLevel="1" x14ac:dyDescent="0.3">
      <c r="B225" s="98" t="s">
        <v>208</v>
      </c>
      <c r="C225" s="13" t="s">
        <v>45</v>
      </c>
      <c r="D225" s="86">
        <v>1.4999999999999999E-2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U225" s="18" t="s">
        <v>209</v>
      </c>
    </row>
    <row r="226" spans="1:41" ht="15.75" customHeight="1" outlineLevel="1" x14ac:dyDescent="0.25">
      <c r="C226" s="13"/>
    </row>
    <row r="227" spans="1:41" ht="15.75" customHeight="1" x14ac:dyDescent="0.4">
      <c r="A227" s="18"/>
      <c r="B227" s="115" t="s">
        <v>210</v>
      </c>
      <c r="C227" s="116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</row>
    <row r="228" spans="1:41" ht="15.75" customHeight="1" outlineLevel="1" x14ac:dyDescent="0.25">
      <c r="C228" s="13"/>
    </row>
    <row r="229" spans="1:41" ht="15.75" customHeight="1" outlineLevel="1" x14ac:dyDescent="0.3">
      <c r="B229" s="98" t="s">
        <v>211</v>
      </c>
      <c r="C229" s="13"/>
    </row>
    <row r="230" spans="1:41" ht="15.75" customHeight="1" outlineLevel="1" x14ac:dyDescent="0.25">
      <c r="B230" s="9" t="s">
        <v>212</v>
      </c>
      <c r="C230" s="13" t="s">
        <v>213</v>
      </c>
      <c r="D230" s="30">
        <v>3000</v>
      </c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U230" s="18" t="s">
        <v>214</v>
      </c>
    </row>
    <row r="231" spans="1:41" ht="15.75" customHeight="1" outlineLevel="1" x14ac:dyDescent="0.25">
      <c r="B231" s="9" t="s">
        <v>215</v>
      </c>
      <c r="C231" s="13" t="s">
        <v>45</v>
      </c>
      <c r="D231" s="21">
        <v>0.2</v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U231" s="18" t="s">
        <v>216</v>
      </c>
    </row>
    <row r="232" spans="1:41" ht="15.75" customHeight="1" outlineLevel="1" x14ac:dyDescent="0.3">
      <c r="B232" s="98"/>
      <c r="C232" s="13"/>
    </row>
    <row r="233" spans="1:41" ht="15.75" customHeight="1" x14ac:dyDescent="0.25">
      <c r="C233" s="13"/>
    </row>
    <row r="234" spans="1:41" ht="15.75" customHeight="1" x14ac:dyDescent="0.25">
      <c r="C234" s="13"/>
    </row>
    <row r="235" spans="1:41" ht="15.75" customHeight="1" x14ac:dyDescent="0.25">
      <c r="C235" s="13"/>
    </row>
    <row r="236" spans="1:41" ht="15.75" customHeight="1" x14ac:dyDescent="0.25">
      <c r="C236" s="13"/>
    </row>
    <row r="237" spans="1:41" ht="15.75" customHeight="1" x14ac:dyDescent="0.25">
      <c r="C237" s="13"/>
    </row>
    <row r="238" spans="1:41" ht="15.75" customHeight="1" x14ac:dyDescent="0.25">
      <c r="C238" s="13"/>
    </row>
    <row r="239" spans="1:41" ht="15.75" customHeight="1" x14ac:dyDescent="0.25">
      <c r="C239" s="13"/>
    </row>
    <row r="240" spans="1:41" ht="15.75" customHeight="1" x14ac:dyDescent="0.25">
      <c r="C240" s="13"/>
    </row>
    <row r="241" spans="3:3" ht="15.75" customHeight="1" x14ac:dyDescent="0.25">
      <c r="C241" s="13"/>
    </row>
    <row r="242" spans="3:3" ht="15.75" customHeight="1" x14ac:dyDescent="0.25">
      <c r="C242" s="13"/>
    </row>
    <row r="243" spans="3:3" ht="15.75" customHeight="1" x14ac:dyDescent="0.25">
      <c r="C243" s="13"/>
    </row>
    <row r="244" spans="3:3" ht="15.75" customHeight="1" x14ac:dyDescent="0.25">
      <c r="C244" s="13"/>
    </row>
    <row r="245" spans="3:3" ht="15.75" customHeight="1" x14ac:dyDescent="0.25">
      <c r="C245" s="13"/>
    </row>
    <row r="246" spans="3:3" ht="15.75" customHeight="1" x14ac:dyDescent="0.25">
      <c r="C246" s="13"/>
    </row>
    <row r="247" spans="3:3" ht="15.75" customHeight="1" x14ac:dyDescent="0.25">
      <c r="C247" s="13"/>
    </row>
    <row r="248" spans="3:3" ht="15.75" customHeight="1" x14ac:dyDescent="0.25">
      <c r="C248" s="13"/>
    </row>
    <row r="249" spans="3:3" ht="15.75" customHeight="1" x14ac:dyDescent="0.25">
      <c r="C249" s="13"/>
    </row>
    <row r="250" spans="3:3" ht="15.75" customHeight="1" x14ac:dyDescent="0.25">
      <c r="C250" s="13"/>
    </row>
    <row r="251" spans="3:3" ht="15.75" customHeight="1" x14ac:dyDescent="0.25">
      <c r="C251" s="13"/>
    </row>
    <row r="252" spans="3:3" ht="15.75" customHeight="1" x14ac:dyDescent="0.25">
      <c r="C252" s="13"/>
    </row>
    <row r="253" spans="3:3" ht="15.75" customHeight="1" x14ac:dyDescent="0.25">
      <c r="C253" s="13"/>
    </row>
    <row r="254" spans="3:3" ht="15.75" customHeight="1" x14ac:dyDescent="0.25">
      <c r="C254" s="13"/>
    </row>
    <row r="255" spans="3:3" ht="15.75" customHeight="1" x14ac:dyDescent="0.25">
      <c r="C255" s="13"/>
    </row>
    <row r="256" spans="3:3" ht="15.75" customHeight="1" x14ac:dyDescent="0.25">
      <c r="C256" s="13"/>
    </row>
    <row r="257" spans="3:3" ht="15.75" customHeight="1" x14ac:dyDescent="0.25">
      <c r="C257" s="13"/>
    </row>
    <row r="258" spans="3:3" ht="15.75" customHeight="1" x14ac:dyDescent="0.25">
      <c r="C258" s="13"/>
    </row>
    <row r="259" spans="3:3" ht="15.75" customHeight="1" x14ac:dyDescent="0.25">
      <c r="C259" s="13"/>
    </row>
    <row r="260" spans="3:3" ht="15.75" customHeight="1" x14ac:dyDescent="0.25">
      <c r="C260" s="13"/>
    </row>
    <row r="261" spans="3:3" ht="15.75" customHeight="1" x14ac:dyDescent="0.25">
      <c r="C261" s="13"/>
    </row>
    <row r="262" spans="3:3" ht="15.75" customHeight="1" x14ac:dyDescent="0.25">
      <c r="C262" s="13"/>
    </row>
    <row r="263" spans="3:3" ht="15.75" customHeight="1" x14ac:dyDescent="0.25">
      <c r="C263" s="13"/>
    </row>
    <row r="264" spans="3:3" ht="15.75" customHeight="1" x14ac:dyDescent="0.25">
      <c r="C264" s="13"/>
    </row>
    <row r="265" spans="3:3" ht="15.75" customHeight="1" x14ac:dyDescent="0.25">
      <c r="C265" s="13"/>
    </row>
    <row r="266" spans="3:3" ht="15.75" customHeight="1" x14ac:dyDescent="0.25">
      <c r="C266" s="13"/>
    </row>
    <row r="267" spans="3:3" ht="15.75" customHeight="1" x14ac:dyDescent="0.25">
      <c r="C267" s="13"/>
    </row>
    <row r="268" spans="3:3" ht="15.75" customHeight="1" x14ac:dyDescent="0.25">
      <c r="C268" s="13"/>
    </row>
    <row r="269" spans="3:3" ht="15.75" customHeight="1" x14ac:dyDescent="0.25">
      <c r="C269" s="13"/>
    </row>
    <row r="270" spans="3:3" ht="15.75" customHeight="1" x14ac:dyDescent="0.25">
      <c r="C270" s="13"/>
    </row>
    <row r="271" spans="3:3" ht="15.75" customHeight="1" x14ac:dyDescent="0.25">
      <c r="C271" s="13"/>
    </row>
    <row r="272" spans="3:3" ht="15.75" customHeight="1" x14ac:dyDescent="0.25">
      <c r="C272" s="13"/>
    </row>
    <row r="273" spans="3:3" ht="15.75" customHeight="1" x14ac:dyDescent="0.25">
      <c r="C273" s="13"/>
    </row>
    <row r="274" spans="3:3" ht="15.75" customHeight="1" x14ac:dyDescent="0.25">
      <c r="C274" s="13"/>
    </row>
    <row r="275" spans="3:3" ht="15.75" customHeight="1" x14ac:dyDescent="0.25">
      <c r="C275" s="13"/>
    </row>
    <row r="276" spans="3:3" ht="15.75" customHeight="1" x14ac:dyDescent="0.25">
      <c r="C276" s="13"/>
    </row>
    <row r="277" spans="3:3" ht="15.75" customHeight="1" x14ac:dyDescent="0.25">
      <c r="C277" s="13"/>
    </row>
    <row r="278" spans="3:3" ht="15.75" customHeight="1" x14ac:dyDescent="0.25">
      <c r="C278" s="13"/>
    </row>
    <row r="279" spans="3:3" ht="15.75" customHeight="1" x14ac:dyDescent="0.25">
      <c r="C279" s="13"/>
    </row>
    <row r="280" spans="3:3" ht="15.75" customHeight="1" x14ac:dyDescent="0.25">
      <c r="C280" s="13"/>
    </row>
    <row r="281" spans="3:3" ht="15.75" customHeight="1" x14ac:dyDescent="0.25">
      <c r="C281" s="13"/>
    </row>
    <row r="282" spans="3:3" ht="15.75" customHeight="1" x14ac:dyDescent="0.25">
      <c r="C282" s="13"/>
    </row>
    <row r="283" spans="3:3" ht="15.75" customHeight="1" x14ac:dyDescent="0.25">
      <c r="C283" s="13"/>
    </row>
    <row r="284" spans="3:3" ht="15.75" customHeight="1" x14ac:dyDescent="0.25">
      <c r="C284" s="13"/>
    </row>
    <row r="285" spans="3:3" ht="15.75" customHeight="1" x14ac:dyDescent="0.25">
      <c r="C285" s="13"/>
    </row>
    <row r="286" spans="3:3" ht="15.75" customHeight="1" x14ac:dyDescent="0.25">
      <c r="C286" s="13"/>
    </row>
    <row r="287" spans="3:3" ht="15.75" customHeight="1" x14ac:dyDescent="0.25">
      <c r="C287" s="13"/>
    </row>
    <row r="288" spans="3:3" ht="15.75" customHeight="1" x14ac:dyDescent="0.25">
      <c r="C288" s="13"/>
    </row>
    <row r="289" spans="3:3" ht="15.75" customHeight="1" x14ac:dyDescent="0.25">
      <c r="C289" s="13"/>
    </row>
    <row r="290" spans="3:3" ht="15.75" customHeight="1" x14ac:dyDescent="0.25">
      <c r="C290" s="13"/>
    </row>
    <row r="291" spans="3:3" ht="15.75" customHeight="1" x14ac:dyDescent="0.25">
      <c r="C291" s="13"/>
    </row>
    <row r="292" spans="3:3" ht="15.75" customHeight="1" x14ac:dyDescent="0.25">
      <c r="C292" s="13"/>
    </row>
    <row r="293" spans="3:3" ht="15.75" customHeight="1" x14ac:dyDescent="0.25">
      <c r="C293" s="13"/>
    </row>
    <row r="294" spans="3:3" ht="15.75" customHeight="1" x14ac:dyDescent="0.25">
      <c r="C294" s="13"/>
    </row>
    <row r="295" spans="3:3" ht="15.75" customHeight="1" x14ac:dyDescent="0.25">
      <c r="C295" s="13"/>
    </row>
    <row r="296" spans="3:3" ht="15.75" customHeight="1" x14ac:dyDescent="0.25">
      <c r="C296" s="13"/>
    </row>
    <row r="297" spans="3:3" ht="15.75" customHeight="1" x14ac:dyDescent="0.25">
      <c r="C297" s="13"/>
    </row>
    <row r="298" spans="3:3" ht="15.75" customHeight="1" x14ac:dyDescent="0.25">
      <c r="C298" s="13"/>
    </row>
    <row r="299" spans="3:3" ht="15.75" customHeight="1" x14ac:dyDescent="0.25">
      <c r="C299" s="13"/>
    </row>
    <row r="300" spans="3:3" ht="15.75" customHeight="1" x14ac:dyDescent="0.25">
      <c r="C300" s="13"/>
    </row>
    <row r="301" spans="3:3" ht="15.75" customHeight="1" x14ac:dyDescent="0.25">
      <c r="C301" s="13"/>
    </row>
    <row r="302" spans="3:3" ht="15.75" customHeight="1" x14ac:dyDescent="0.25">
      <c r="C302" s="13"/>
    </row>
    <row r="303" spans="3:3" ht="15.75" customHeight="1" x14ac:dyDescent="0.25">
      <c r="C303" s="13"/>
    </row>
    <row r="304" spans="3:3" ht="15.75" customHeight="1" x14ac:dyDescent="0.25">
      <c r="C304" s="13"/>
    </row>
    <row r="305" spans="3:3" ht="15.75" customHeight="1" x14ac:dyDescent="0.25">
      <c r="C305" s="13"/>
    </row>
    <row r="306" spans="3:3" ht="15.75" customHeight="1" x14ac:dyDescent="0.25">
      <c r="C306" s="13"/>
    </row>
    <row r="307" spans="3:3" ht="15.75" customHeight="1" x14ac:dyDescent="0.25">
      <c r="C307" s="13"/>
    </row>
    <row r="308" spans="3:3" ht="15.75" customHeight="1" x14ac:dyDescent="0.25">
      <c r="C308" s="13"/>
    </row>
    <row r="309" spans="3:3" ht="15.75" customHeight="1" x14ac:dyDescent="0.25">
      <c r="C309" s="13"/>
    </row>
    <row r="310" spans="3:3" ht="15.75" customHeight="1" x14ac:dyDescent="0.25">
      <c r="C310" s="13"/>
    </row>
    <row r="311" spans="3:3" ht="15.75" customHeight="1" x14ac:dyDescent="0.25">
      <c r="C311" s="13"/>
    </row>
    <row r="312" spans="3:3" ht="15.75" customHeight="1" x14ac:dyDescent="0.25">
      <c r="C312" s="13"/>
    </row>
    <row r="313" spans="3:3" ht="15.75" customHeight="1" x14ac:dyDescent="0.25">
      <c r="C313" s="13"/>
    </row>
    <row r="314" spans="3:3" ht="15.75" customHeight="1" x14ac:dyDescent="0.25">
      <c r="C314" s="13"/>
    </row>
    <row r="315" spans="3:3" ht="15.75" customHeight="1" x14ac:dyDescent="0.25">
      <c r="C315" s="13"/>
    </row>
    <row r="316" spans="3:3" ht="15.75" customHeight="1" x14ac:dyDescent="0.25">
      <c r="C316" s="13"/>
    </row>
    <row r="317" spans="3:3" ht="15.75" customHeight="1" x14ac:dyDescent="0.25">
      <c r="C317" s="13"/>
    </row>
    <row r="318" spans="3:3" ht="15.75" customHeight="1" x14ac:dyDescent="0.25">
      <c r="C318" s="13"/>
    </row>
    <row r="319" spans="3:3" ht="15.75" customHeight="1" x14ac:dyDescent="0.25">
      <c r="C319" s="13"/>
    </row>
    <row r="320" spans="3:3" ht="15.75" customHeight="1" x14ac:dyDescent="0.25">
      <c r="C320" s="13"/>
    </row>
    <row r="321" spans="3:3" ht="15.75" customHeight="1" x14ac:dyDescent="0.25">
      <c r="C321" s="13"/>
    </row>
    <row r="322" spans="3:3" ht="15.75" customHeight="1" x14ac:dyDescent="0.25">
      <c r="C322" s="13"/>
    </row>
    <row r="323" spans="3:3" ht="15.75" customHeight="1" x14ac:dyDescent="0.25">
      <c r="C323" s="13"/>
    </row>
    <row r="324" spans="3:3" ht="15.75" customHeight="1" x14ac:dyDescent="0.25">
      <c r="C324" s="13"/>
    </row>
    <row r="325" spans="3:3" ht="15.75" customHeight="1" x14ac:dyDescent="0.25">
      <c r="C325" s="13"/>
    </row>
    <row r="326" spans="3:3" ht="15.75" customHeight="1" x14ac:dyDescent="0.25">
      <c r="C326" s="13"/>
    </row>
    <row r="327" spans="3:3" ht="15.75" customHeight="1" x14ac:dyDescent="0.25">
      <c r="C327" s="13"/>
    </row>
    <row r="328" spans="3:3" ht="15.75" customHeight="1" x14ac:dyDescent="0.25">
      <c r="C328" s="13"/>
    </row>
    <row r="329" spans="3:3" ht="15.75" customHeight="1" x14ac:dyDescent="0.25">
      <c r="C329" s="13"/>
    </row>
    <row r="330" spans="3:3" ht="15.75" customHeight="1" x14ac:dyDescent="0.25">
      <c r="C330" s="13"/>
    </row>
    <row r="331" spans="3:3" ht="15.75" customHeight="1" x14ac:dyDescent="0.25">
      <c r="C331" s="13"/>
    </row>
    <row r="332" spans="3:3" ht="15.75" customHeight="1" x14ac:dyDescent="0.25">
      <c r="C332" s="13"/>
    </row>
    <row r="333" spans="3:3" ht="15.75" customHeight="1" x14ac:dyDescent="0.25">
      <c r="C333" s="13"/>
    </row>
    <row r="334" spans="3:3" ht="15.75" customHeight="1" x14ac:dyDescent="0.25">
      <c r="C334" s="13"/>
    </row>
    <row r="335" spans="3:3" ht="15.75" customHeight="1" x14ac:dyDescent="0.25">
      <c r="C335" s="13"/>
    </row>
    <row r="336" spans="3:3" ht="15.75" customHeight="1" x14ac:dyDescent="0.25">
      <c r="C336" s="13"/>
    </row>
    <row r="337" spans="3:3" ht="15.75" customHeight="1" x14ac:dyDescent="0.25">
      <c r="C337" s="13"/>
    </row>
    <row r="338" spans="3:3" ht="15.75" customHeight="1" x14ac:dyDescent="0.25">
      <c r="C338" s="13"/>
    </row>
    <row r="339" spans="3:3" ht="15.75" customHeight="1" x14ac:dyDescent="0.25">
      <c r="C339" s="13"/>
    </row>
    <row r="340" spans="3:3" ht="15.75" customHeight="1" x14ac:dyDescent="0.25">
      <c r="C340" s="13"/>
    </row>
    <row r="341" spans="3:3" ht="15.75" customHeight="1" x14ac:dyDescent="0.25">
      <c r="C341" s="13"/>
    </row>
    <row r="342" spans="3:3" ht="15.75" customHeight="1" x14ac:dyDescent="0.25">
      <c r="C342" s="13"/>
    </row>
    <row r="343" spans="3:3" ht="15.75" customHeight="1" x14ac:dyDescent="0.25">
      <c r="C343" s="13"/>
    </row>
    <row r="344" spans="3:3" ht="15.75" customHeight="1" x14ac:dyDescent="0.25">
      <c r="C344" s="13"/>
    </row>
    <row r="345" spans="3:3" ht="15.75" customHeight="1" x14ac:dyDescent="0.25">
      <c r="C345" s="13"/>
    </row>
    <row r="346" spans="3:3" ht="15.75" customHeight="1" x14ac:dyDescent="0.25">
      <c r="C346" s="13"/>
    </row>
    <row r="347" spans="3:3" ht="15.75" customHeight="1" x14ac:dyDescent="0.25">
      <c r="C347" s="13"/>
    </row>
    <row r="348" spans="3:3" ht="15.75" customHeight="1" x14ac:dyDescent="0.25">
      <c r="C348" s="13"/>
    </row>
    <row r="349" spans="3:3" ht="15.75" customHeight="1" x14ac:dyDescent="0.25">
      <c r="C349" s="13"/>
    </row>
    <row r="350" spans="3:3" ht="15.75" customHeight="1" x14ac:dyDescent="0.25">
      <c r="C350" s="13"/>
    </row>
    <row r="351" spans="3:3" ht="15.75" customHeight="1" x14ac:dyDescent="0.25">
      <c r="C351" s="13"/>
    </row>
    <row r="352" spans="3:3" ht="15.75" customHeight="1" x14ac:dyDescent="0.25">
      <c r="C352" s="13"/>
    </row>
    <row r="353" spans="3:3" ht="15.75" customHeight="1" x14ac:dyDescent="0.25">
      <c r="C353" s="13"/>
    </row>
    <row r="354" spans="3:3" ht="15.75" customHeight="1" x14ac:dyDescent="0.25">
      <c r="C354" s="13"/>
    </row>
    <row r="355" spans="3:3" ht="15.75" customHeight="1" x14ac:dyDescent="0.25">
      <c r="C355" s="13"/>
    </row>
    <row r="356" spans="3:3" ht="15.75" customHeight="1" x14ac:dyDescent="0.25">
      <c r="C356" s="13"/>
    </row>
    <row r="357" spans="3:3" ht="15.75" customHeight="1" x14ac:dyDescent="0.25">
      <c r="C357" s="13"/>
    </row>
    <row r="358" spans="3:3" ht="15.75" customHeight="1" x14ac:dyDescent="0.25">
      <c r="C358" s="13"/>
    </row>
    <row r="359" spans="3:3" ht="15.75" customHeight="1" x14ac:dyDescent="0.25">
      <c r="C359" s="13"/>
    </row>
    <row r="360" spans="3:3" ht="15.75" customHeight="1" x14ac:dyDescent="0.25">
      <c r="C360" s="13"/>
    </row>
    <row r="361" spans="3:3" ht="15.75" customHeight="1" x14ac:dyDescent="0.25">
      <c r="C361" s="13"/>
    </row>
    <row r="362" spans="3:3" ht="15.75" customHeight="1" x14ac:dyDescent="0.25">
      <c r="C362" s="13"/>
    </row>
    <row r="363" spans="3:3" ht="15.75" customHeight="1" x14ac:dyDescent="0.25">
      <c r="C363" s="13"/>
    </row>
    <row r="364" spans="3:3" ht="15.75" customHeight="1" x14ac:dyDescent="0.25">
      <c r="C364" s="13"/>
    </row>
    <row r="365" spans="3:3" ht="15.75" customHeight="1" x14ac:dyDescent="0.25">
      <c r="C365" s="13"/>
    </row>
    <row r="366" spans="3:3" ht="15.75" customHeight="1" x14ac:dyDescent="0.25">
      <c r="C366" s="13"/>
    </row>
    <row r="367" spans="3:3" ht="15.75" customHeight="1" x14ac:dyDescent="0.25">
      <c r="C367" s="13"/>
    </row>
    <row r="368" spans="3:3" ht="15.75" customHeight="1" x14ac:dyDescent="0.25">
      <c r="C368" s="13"/>
    </row>
    <row r="369" spans="3:3" ht="15.75" customHeight="1" x14ac:dyDescent="0.25">
      <c r="C369" s="13"/>
    </row>
    <row r="370" spans="3:3" ht="15.75" customHeight="1" x14ac:dyDescent="0.25">
      <c r="C370" s="13"/>
    </row>
    <row r="371" spans="3:3" ht="15.75" customHeight="1" x14ac:dyDescent="0.25">
      <c r="C371" s="13"/>
    </row>
    <row r="372" spans="3:3" ht="15.75" customHeight="1" x14ac:dyDescent="0.25">
      <c r="C372" s="13"/>
    </row>
    <row r="373" spans="3:3" ht="15.75" customHeight="1" x14ac:dyDescent="0.25">
      <c r="C373" s="13"/>
    </row>
    <row r="374" spans="3:3" ht="15.75" customHeight="1" x14ac:dyDescent="0.25">
      <c r="C374" s="13"/>
    </row>
    <row r="375" spans="3:3" ht="15.75" customHeight="1" x14ac:dyDescent="0.25">
      <c r="C375" s="13"/>
    </row>
    <row r="376" spans="3:3" ht="15.75" customHeight="1" x14ac:dyDescent="0.25">
      <c r="C376" s="13"/>
    </row>
    <row r="377" spans="3:3" ht="15.75" customHeight="1" x14ac:dyDescent="0.25">
      <c r="C377" s="13"/>
    </row>
    <row r="378" spans="3:3" ht="15.75" customHeight="1" x14ac:dyDescent="0.25">
      <c r="C378" s="13"/>
    </row>
    <row r="379" spans="3:3" ht="15.75" customHeight="1" x14ac:dyDescent="0.25">
      <c r="C379" s="13"/>
    </row>
    <row r="380" spans="3:3" ht="15.75" customHeight="1" x14ac:dyDescent="0.25">
      <c r="C380" s="13"/>
    </row>
    <row r="381" spans="3:3" ht="15.75" customHeight="1" x14ac:dyDescent="0.25">
      <c r="C381" s="13"/>
    </row>
    <row r="382" spans="3:3" ht="15.75" customHeight="1" x14ac:dyDescent="0.25">
      <c r="C382" s="13"/>
    </row>
    <row r="383" spans="3:3" ht="15.75" customHeight="1" x14ac:dyDescent="0.25">
      <c r="C383" s="13"/>
    </row>
    <row r="384" spans="3:3" ht="15.75" customHeight="1" x14ac:dyDescent="0.25">
      <c r="C384" s="13"/>
    </row>
    <row r="385" spans="3:3" ht="15.75" customHeight="1" x14ac:dyDescent="0.25">
      <c r="C385" s="13"/>
    </row>
    <row r="386" spans="3:3" ht="15.75" customHeight="1" x14ac:dyDescent="0.25">
      <c r="C386" s="13"/>
    </row>
    <row r="387" spans="3:3" ht="15.75" customHeight="1" x14ac:dyDescent="0.25">
      <c r="C387" s="13"/>
    </row>
    <row r="388" spans="3:3" ht="15.75" customHeight="1" x14ac:dyDescent="0.25">
      <c r="C388" s="13"/>
    </row>
    <row r="389" spans="3:3" ht="15.75" customHeight="1" x14ac:dyDescent="0.25">
      <c r="C389" s="13"/>
    </row>
    <row r="390" spans="3:3" ht="15.75" customHeight="1" x14ac:dyDescent="0.25">
      <c r="C390" s="13"/>
    </row>
    <row r="391" spans="3:3" ht="15.75" customHeight="1" x14ac:dyDescent="0.25">
      <c r="C391" s="13"/>
    </row>
    <row r="392" spans="3:3" ht="15.75" customHeight="1" x14ac:dyDescent="0.25">
      <c r="C392" s="13"/>
    </row>
    <row r="393" spans="3:3" ht="15.75" customHeight="1" x14ac:dyDescent="0.25">
      <c r="C393" s="13"/>
    </row>
    <row r="394" spans="3:3" ht="15.75" customHeight="1" x14ac:dyDescent="0.25">
      <c r="C394" s="13"/>
    </row>
    <row r="395" spans="3:3" ht="15.75" customHeight="1" x14ac:dyDescent="0.25">
      <c r="C395" s="13"/>
    </row>
    <row r="396" spans="3:3" ht="15.75" customHeight="1" x14ac:dyDescent="0.25">
      <c r="C396" s="13"/>
    </row>
    <row r="397" spans="3:3" ht="15.75" customHeight="1" x14ac:dyDescent="0.25">
      <c r="C397" s="13"/>
    </row>
    <row r="398" spans="3:3" ht="15.75" customHeight="1" x14ac:dyDescent="0.25">
      <c r="C398" s="13"/>
    </row>
    <row r="399" spans="3:3" ht="15.75" customHeight="1" x14ac:dyDescent="0.25">
      <c r="C399" s="13"/>
    </row>
    <row r="400" spans="3:3" ht="15.75" customHeight="1" x14ac:dyDescent="0.25">
      <c r="C400" s="13"/>
    </row>
    <row r="401" spans="3:3" ht="15.75" customHeight="1" x14ac:dyDescent="0.25">
      <c r="C401" s="13"/>
    </row>
    <row r="402" spans="3:3" ht="15.75" customHeight="1" x14ac:dyDescent="0.25">
      <c r="C402" s="13"/>
    </row>
    <row r="403" spans="3:3" ht="15.75" customHeight="1" x14ac:dyDescent="0.25">
      <c r="C403" s="13"/>
    </row>
    <row r="404" spans="3:3" ht="15.75" customHeight="1" x14ac:dyDescent="0.25">
      <c r="C404" s="13"/>
    </row>
    <row r="405" spans="3:3" ht="15.75" customHeight="1" x14ac:dyDescent="0.25">
      <c r="C405" s="13"/>
    </row>
    <row r="406" spans="3:3" ht="15.75" customHeight="1" x14ac:dyDescent="0.25">
      <c r="C406" s="13"/>
    </row>
    <row r="407" spans="3:3" ht="15.75" customHeight="1" x14ac:dyDescent="0.25">
      <c r="C407" s="13"/>
    </row>
    <row r="408" spans="3:3" ht="15.75" customHeight="1" x14ac:dyDescent="0.25">
      <c r="C408" s="13"/>
    </row>
    <row r="409" spans="3:3" ht="15.75" customHeight="1" x14ac:dyDescent="0.25">
      <c r="C409" s="13"/>
    </row>
    <row r="410" spans="3:3" ht="15.75" customHeight="1" x14ac:dyDescent="0.25">
      <c r="C410" s="13"/>
    </row>
    <row r="411" spans="3:3" ht="15.75" customHeight="1" x14ac:dyDescent="0.25">
      <c r="C411" s="13"/>
    </row>
    <row r="412" spans="3:3" ht="15.75" customHeight="1" x14ac:dyDescent="0.25">
      <c r="C412" s="13"/>
    </row>
    <row r="413" spans="3:3" ht="15.75" customHeight="1" x14ac:dyDescent="0.25">
      <c r="C413" s="13"/>
    </row>
    <row r="414" spans="3:3" ht="15.75" customHeight="1" x14ac:dyDescent="0.25">
      <c r="C414" s="13"/>
    </row>
    <row r="415" spans="3:3" ht="15.75" customHeight="1" x14ac:dyDescent="0.25">
      <c r="C415" s="13"/>
    </row>
    <row r="416" spans="3:3" ht="15.75" customHeight="1" x14ac:dyDescent="0.25">
      <c r="C416" s="13"/>
    </row>
    <row r="417" spans="3:3" ht="15.75" customHeight="1" x14ac:dyDescent="0.25">
      <c r="C417" s="13"/>
    </row>
    <row r="418" spans="3:3" ht="15.75" customHeight="1" x14ac:dyDescent="0.25">
      <c r="C418" s="13"/>
    </row>
    <row r="419" spans="3:3" ht="15.75" customHeight="1" x14ac:dyDescent="0.25">
      <c r="C419" s="13"/>
    </row>
    <row r="420" spans="3:3" ht="15.75" customHeight="1" x14ac:dyDescent="0.25">
      <c r="C420" s="13"/>
    </row>
    <row r="421" spans="3:3" ht="15.75" customHeight="1" x14ac:dyDescent="0.25">
      <c r="C421" s="13"/>
    </row>
    <row r="422" spans="3:3" ht="15.75" customHeight="1" x14ac:dyDescent="0.25">
      <c r="C422" s="13"/>
    </row>
    <row r="423" spans="3:3" ht="15.75" customHeight="1" x14ac:dyDescent="0.25">
      <c r="C423" s="13"/>
    </row>
    <row r="424" spans="3:3" ht="15.75" customHeight="1" x14ac:dyDescent="0.25">
      <c r="C424" s="13"/>
    </row>
    <row r="425" spans="3:3" ht="15.75" customHeight="1" x14ac:dyDescent="0.25">
      <c r="C425" s="13"/>
    </row>
    <row r="426" spans="3:3" ht="15.75" customHeight="1" x14ac:dyDescent="0.25">
      <c r="C426" s="13"/>
    </row>
    <row r="427" spans="3:3" ht="15.75" customHeight="1" x14ac:dyDescent="0.25">
      <c r="C427" s="13"/>
    </row>
    <row r="428" spans="3:3" ht="15.75" customHeight="1" x14ac:dyDescent="0.25">
      <c r="C428" s="13"/>
    </row>
    <row r="429" spans="3:3" ht="15.75" customHeight="1" x14ac:dyDescent="0.25">
      <c r="C429" s="13"/>
    </row>
    <row r="430" spans="3:3" ht="15.75" customHeight="1" x14ac:dyDescent="0.25">
      <c r="C430" s="13"/>
    </row>
    <row r="431" spans="3:3" ht="15.75" customHeight="1" x14ac:dyDescent="0.25">
      <c r="C431" s="13"/>
    </row>
    <row r="432" spans="3:3" ht="15.75" customHeight="1" x14ac:dyDescent="0.25">
      <c r="C432" s="13"/>
    </row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</sheetData>
  <sheetProtection selectLockedCells="1" selectUnlockedCells="1"/>
  <autoFilter ref="B1:B1110" xr:uid="{00000000-0001-0000-0100-000000000000}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>
    <outlinePr summaryBelow="0" summaryRight="0"/>
  </sheetPr>
  <dimension ref="B1:H1023"/>
  <sheetViews>
    <sheetView topLeftCell="B1" workbookViewId="0"/>
  </sheetViews>
  <sheetFormatPr defaultColWidth="14.453125" defaultRowHeight="15" customHeight="1" outlineLevelRow="2" x14ac:dyDescent="0.25"/>
  <cols>
    <col min="1" max="1" width="3.7265625" customWidth="1"/>
    <col min="2" max="2" width="35.6328125" customWidth="1"/>
    <col min="3" max="3" width="7.1796875" bestFit="1" customWidth="1"/>
  </cols>
  <sheetData>
    <row r="1" spans="2:8" ht="15.75" customHeight="1" x14ac:dyDescent="0.25"/>
    <row r="2" spans="2:8" ht="15.75" customHeight="1" x14ac:dyDescent="0.4">
      <c r="B2" s="2" t="s">
        <v>0</v>
      </c>
    </row>
    <row r="3" spans="2:8" ht="15.75" customHeight="1" x14ac:dyDescent="0.35">
      <c r="B3" s="14" t="s">
        <v>217</v>
      </c>
    </row>
    <row r="4" spans="2:8" ht="15.75" customHeight="1" x14ac:dyDescent="0.25"/>
    <row r="5" spans="2:8" ht="15.75" customHeight="1" x14ac:dyDescent="0.3">
      <c r="B5" s="5"/>
      <c r="C5" s="17" t="s">
        <v>218</v>
      </c>
      <c r="D5" s="45" t="s">
        <v>219</v>
      </c>
      <c r="E5" s="45" t="s">
        <v>220</v>
      </c>
      <c r="F5" s="45" t="s">
        <v>221</v>
      </c>
    </row>
    <row r="6" spans="2:8" ht="15.75" customHeight="1" x14ac:dyDescent="0.25"/>
    <row r="7" spans="2:8" ht="15.75" customHeight="1" x14ac:dyDescent="0.3">
      <c r="B7" s="118" t="s">
        <v>222</v>
      </c>
      <c r="C7" s="116"/>
      <c r="D7" s="112"/>
      <c r="E7" s="112"/>
      <c r="F7" s="112"/>
    </row>
    <row r="8" spans="2:8" ht="15.75" customHeight="1" outlineLevel="1" x14ac:dyDescent="0.25"/>
    <row r="9" spans="2:8" ht="15.75" customHeight="1" outlineLevel="1" x14ac:dyDescent="0.3">
      <c r="B9" s="24" t="str">
        <f>Bemenet!B15</f>
        <v>Az európai kontinens bevételei</v>
      </c>
    </row>
    <row r="10" spans="2:8" ht="15.75" customHeight="1" outlineLevel="1" x14ac:dyDescent="0.25">
      <c r="B10" s="18" t="s">
        <v>223</v>
      </c>
      <c r="C10" s="32" t="s">
        <v>82</v>
      </c>
      <c r="D10" s="32">
        <f>SUM(Bemenet!D24:O24)</f>
        <v>0</v>
      </c>
      <c r="E10" s="32">
        <f>SUM(Bemenet!P24:S24)</f>
        <v>14332.65046017072</v>
      </c>
      <c r="F10" s="32">
        <f>Bemenet!T24</f>
        <v>60866.627915090939</v>
      </c>
    </row>
    <row r="11" spans="2:8" ht="15.75" customHeight="1" outlineLevel="1" x14ac:dyDescent="0.25">
      <c r="B11" s="18" t="s">
        <v>224</v>
      </c>
      <c r="C11" s="18" t="s">
        <v>82</v>
      </c>
      <c r="D11" s="32">
        <f>SUM(Bemenet!D34:O34)</f>
        <v>5230.8537615703117</v>
      </c>
      <c r="E11" s="32">
        <f>SUM(Bemenet!P34:S34)</f>
        <v>1357126.1527475957</v>
      </c>
      <c r="F11" s="32">
        <f>+Bemenet!T34</f>
        <v>10410174.825397333</v>
      </c>
      <c r="H11" s="47"/>
    </row>
    <row r="12" spans="2:8" ht="15.75" customHeight="1" outlineLevel="1" x14ac:dyDescent="0.25">
      <c r="B12" s="18" t="s">
        <v>225</v>
      </c>
      <c r="C12" s="18" t="s">
        <v>82</v>
      </c>
      <c r="D12" s="32">
        <f>SUM(Bemenet!D45:O45)</f>
        <v>3482.0220410156248</v>
      </c>
      <c r="E12" s="32">
        <f>SUM(Bemenet!P45:S45)</f>
        <v>820435.65736234968</v>
      </c>
      <c r="F12" s="32">
        <f>+Bemenet!T45</f>
        <v>7848567.4839969277</v>
      </c>
    </row>
    <row r="13" spans="2:8" ht="15.75" customHeight="1" outlineLevel="1" x14ac:dyDescent="0.25"/>
    <row r="14" spans="2:8" ht="15.75" customHeight="1" outlineLevel="1" x14ac:dyDescent="0.3">
      <c r="B14" s="24" t="str">
        <f>Bemenet!B47</f>
        <v>Az amerikai kontinens bevételei</v>
      </c>
    </row>
    <row r="15" spans="2:8" ht="15.75" customHeight="1" outlineLevel="1" x14ac:dyDescent="0.25">
      <c r="B15" s="18" t="s">
        <v>223</v>
      </c>
      <c r="C15" s="32" t="s">
        <v>82</v>
      </c>
      <c r="D15" s="32">
        <f>SUM(Bemenet!D56:O56)</f>
        <v>0</v>
      </c>
      <c r="E15" s="32">
        <f>SUM(Bemenet!P56:S56)</f>
        <v>22720.719854715822</v>
      </c>
      <c r="F15" s="32">
        <f>+Bemenet!T56</f>
        <v>87637.184903428977</v>
      </c>
    </row>
    <row r="16" spans="2:8" ht="15.75" customHeight="1" outlineLevel="1" x14ac:dyDescent="0.25">
      <c r="B16" s="18" t="s">
        <v>224</v>
      </c>
      <c r="C16" s="18" t="s">
        <v>82</v>
      </c>
      <c r="D16" s="32">
        <f>SUM(Bemenet!D66:O66)</f>
        <v>12750</v>
      </c>
      <c r="E16" s="32">
        <f>SUM(Bemenet!P66:S66)</f>
        <v>12176758.81957528</v>
      </c>
      <c r="F16" s="32">
        <f>+Bemenet!T66</f>
        <v>69899824.210492998</v>
      </c>
    </row>
    <row r="17" spans="2:8" ht="15.75" customHeight="1" outlineLevel="1" x14ac:dyDescent="0.25">
      <c r="B17" s="18" t="s">
        <v>225</v>
      </c>
      <c r="C17" s="18" t="s">
        <v>82</v>
      </c>
      <c r="D17" s="32">
        <f>SUM(Bemenet!D77:O77)</f>
        <v>10500</v>
      </c>
      <c r="E17" s="32">
        <f>SUM(Bemenet!P77:S77)</f>
        <v>38126402.33988291</v>
      </c>
      <c r="F17" s="32">
        <f>Bemenet!T77</f>
        <v>182239169.9287158</v>
      </c>
    </row>
    <row r="18" spans="2:8" ht="15.75" customHeight="1" outlineLevel="1" x14ac:dyDescent="0.25">
      <c r="B18" s="18"/>
      <c r="C18" s="18"/>
    </row>
    <row r="19" spans="2:8" ht="15.75" customHeight="1" outlineLevel="1" x14ac:dyDescent="0.3">
      <c r="B19" s="24" t="str">
        <f>Bemenet!B79</f>
        <v>Az ázsiai kontinens bevételei</v>
      </c>
      <c r="C19" s="18"/>
    </row>
    <row r="20" spans="2:8" ht="15.75" customHeight="1" outlineLevel="1" x14ac:dyDescent="0.25">
      <c r="B20" s="18" t="s">
        <v>223</v>
      </c>
      <c r="C20" s="32" t="s">
        <v>82</v>
      </c>
      <c r="D20" s="32">
        <f>SUM(Bemenet!D88:O88)</f>
        <v>0</v>
      </c>
      <c r="E20" s="32">
        <f>SUM(Bemenet!P88:S88)</f>
        <v>0</v>
      </c>
      <c r="F20" s="32">
        <f>+Bemenet!T88</f>
        <v>180000</v>
      </c>
    </row>
    <row r="21" spans="2:8" ht="15.75" customHeight="1" outlineLevel="1" x14ac:dyDescent="0.25">
      <c r="B21" s="18" t="s">
        <v>224</v>
      </c>
      <c r="C21" s="18" t="s">
        <v>82</v>
      </c>
      <c r="D21" s="32">
        <f>SUM(Bemenet!D98:O98)</f>
        <v>0</v>
      </c>
      <c r="E21" s="32">
        <f>SUM(Bemenet!P98:S98)</f>
        <v>0</v>
      </c>
      <c r="F21" s="32">
        <f>Bemenet!T98</f>
        <v>540000</v>
      </c>
      <c r="H21" s="47"/>
    </row>
    <row r="22" spans="2:8" ht="15.75" customHeight="1" outlineLevel="1" x14ac:dyDescent="0.25">
      <c r="B22" s="18" t="s">
        <v>225</v>
      </c>
      <c r="C22" s="18" t="s">
        <v>82</v>
      </c>
      <c r="D22" s="32">
        <f>SUM(Bemenet!D109:O109)</f>
        <v>0</v>
      </c>
      <c r="E22" s="32">
        <f>SUM(Bemenet!P109:S109)</f>
        <v>0</v>
      </c>
      <c r="F22" s="32">
        <f>Bemenet!T109</f>
        <v>2148120</v>
      </c>
    </row>
    <row r="23" spans="2:8" ht="15.75" customHeight="1" x14ac:dyDescent="0.25"/>
    <row r="24" spans="2:8" ht="15.75" customHeight="1" x14ac:dyDescent="0.3">
      <c r="B24" s="118" t="str">
        <f>Bemenet!B111</f>
        <v>Európai kontinens OPEX</v>
      </c>
      <c r="C24" s="116"/>
      <c r="D24" s="112"/>
      <c r="E24" s="112"/>
      <c r="F24" s="112"/>
    </row>
    <row r="25" spans="2:8" ht="15.75" customHeight="1" outlineLevel="1" x14ac:dyDescent="0.25"/>
    <row r="26" spans="2:8" ht="15.75" customHeight="1" outlineLevel="1" x14ac:dyDescent="0.3">
      <c r="B26" s="24" t="str">
        <f>Bemenet!B113</f>
        <v>Kifizetett forgalomszervezési jutalékok</v>
      </c>
    </row>
    <row r="27" spans="2:8" ht="15.75" customHeight="1" outlineLevel="1" x14ac:dyDescent="0.25">
      <c r="B27" s="18" t="str">
        <f>Bemenet!B115</f>
        <v>Bercode-kibocsátóknak fizetett forgalomszervezési jutalékok / bercode használat</v>
      </c>
      <c r="C27" t="str">
        <f>Bemenet!C115</f>
        <v>USD</v>
      </c>
      <c r="D27" s="32">
        <f>SUM(Bemenet!D115:O115)</f>
        <v>1160.6740136718749</v>
      </c>
      <c r="E27" s="32">
        <f>SUM(Bemenet!P115:S115)</f>
        <v>273478.55245411652</v>
      </c>
      <c r="F27" s="32">
        <f>Bemenet!T115</f>
        <v>2616189.1613323092</v>
      </c>
    </row>
    <row r="28" spans="2:8" ht="15.75" customHeight="1" outlineLevel="1" x14ac:dyDescent="0.25">
      <c r="B28" s="18" t="str">
        <f>Bemenet!B117</f>
        <v>Bercode-kibocsátóknak fizetett forgalomszervezési jutalékok / kereskedő</v>
      </c>
      <c r="C28" t="str">
        <f>Bemenet!C117</f>
        <v>USD</v>
      </c>
      <c r="D28" s="32">
        <f>SUM(Bemenet!D117:O117)</f>
        <v>1160.6740136718749</v>
      </c>
      <c r="E28" s="32">
        <f>SUM(Bemenet!P117:S117)</f>
        <v>273478.55245411652</v>
      </c>
      <c r="F28" s="32">
        <f>Bemenet!T117</f>
        <v>2616189.1613323092</v>
      </c>
    </row>
    <row r="29" spans="2:8" ht="15.75" customHeight="1" outlineLevel="1" x14ac:dyDescent="0.25"/>
    <row r="30" spans="2:8" ht="15.75" customHeight="1" outlineLevel="1" x14ac:dyDescent="0.3">
      <c r="B30" s="24" t="str">
        <f>Bemenet!B120</f>
        <v>Irodai és adminisztrációs költségek</v>
      </c>
      <c r="D30" s="32"/>
    </row>
    <row r="31" spans="2:8" ht="15.75" customHeight="1" outlineLevel="2" x14ac:dyDescent="0.25">
      <c r="B31" s="18" t="str">
        <f>Bemenet!B121</f>
        <v>Irodabérleti díj + általános költségek</v>
      </c>
      <c r="C31" t="s">
        <v>82</v>
      </c>
      <c r="D31" s="47">
        <f>SUM(Bemenet!D121:O121)</f>
        <v>36000</v>
      </c>
      <c r="E31" s="47">
        <f>SUM(Bemenet!P121:S121)</f>
        <v>36000</v>
      </c>
      <c r="F31" s="47">
        <f>Bemenet!T121</f>
        <v>36000</v>
      </c>
    </row>
    <row r="32" spans="2:8" ht="15.75" customHeight="1" outlineLevel="1" x14ac:dyDescent="0.3">
      <c r="B32" s="24"/>
    </row>
    <row r="33" spans="2:6" ht="15.75" customHeight="1" outlineLevel="1" x14ac:dyDescent="0.3">
      <c r="B33" s="24" t="str">
        <f>Bemenet!B124</f>
        <v>Marketing és üzletfejlesztés</v>
      </c>
      <c r="D33" s="48">
        <f>SUM(D34:D35)</f>
        <v>16500</v>
      </c>
      <c r="E33" s="48">
        <f>SUM(E34:E35)</f>
        <v>18000</v>
      </c>
      <c r="F33" s="48">
        <f>SUM(F34:F35)</f>
        <v>18000</v>
      </c>
    </row>
    <row r="34" spans="2:6" ht="15.75" customHeight="1" outlineLevel="2" x14ac:dyDescent="0.25">
      <c r="B34" s="18" t="str">
        <f>Bemenet!B125</f>
        <v>Szponzoráció hírességek számára a piac beindításához</v>
      </c>
      <c r="C34" s="18" t="s">
        <v>82</v>
      </c>
      <c r="D34" s="32">
        <f>SUM(Bemenet!D125:O125)</f>
        <v>0</v>
      </c>
      <c r="E34" s="32">
        <f>SUM(Bemenet!P125:S125)</f>
        <v>0</v>
      </c>
      <c r="F34" s="32">
        <f>SUM(Bemenet!T125)</f>
        <v>0</v>
      </c>
    </row>
    <row r="35" spans="2:6" ht="15.75" customHeight="1" outlineLevel="2" x14ac:dyDescent="0.25">
      <c r="B35" s="18" t="str">
        <f>Bemenet!B126</f>
        <v>Online hirdetések - Facebook, Instagram, TikTok</v>
      </c>
      <c r="C35" s="18" t="s">
        <v>82</v>
      </c>
      <c r="D35" s="32">
        <f>SUM(Bemenet!D126:O126)</f>
        <v>16500</v>
      </c>
      <c r="E35" s="32">
        <f>SUM(Bemenet!P126:S126)</f>
        <v>18000</v>
      </c>
      <c r="F35" s="32">
        <f>SUM(Bemenet!T126)</f>
        <v>18000</v>
      </c>
    </row>
    <row r="36" spans="2:6" ht="15.75" customHeight="1" outlineLevel="1" x14ac:dyDescent="0.25"/>
    <row r="37" spans="2:6" ht="15.75" customHeight="1" outlineLevel="1" x14ac:dyDescent="0.3">
      <c r="B37" s="24" t="str">
        <f>Bemenet!B128</f>
        <v>Egyéb működési költségek</v>
      </c>
    </row>
    <row r="38" spans="2:6" ht="15.75" customHeight="1" outlineLevel="2" x14ac:dyDescent="0.25">
      <c r="B38" s="18" t="str">
        <f>Bemenet!B129</f>
        <v>Utazás</v>
      </c>
      <c r="C38" s="18" t="s">
        <v>82</v>
      </c>
      <c r="D38" s="32">
        <f>SUM(Bemenet!D129:O129)</f>
        <v>12000</v>
      </c>
      <c r="E38" s="32">
        <f>SUM(Bemenet!P129:S129)</f>
        <v>12000</v>
      </c>
      <c r="F38" s="32">
        <f>SUM(Bemenet!T129)</f>
        <v>12000</v>
      </c>
    </row>
    <row r="39" spans="2:6" ht="15.75" customHeight="1" outlineLevel="1" x14ac:dyDescent="0.25"/>
    <row r="40" spans="2:6" ht="15.75" customHeight="1" outlineLevel="1" x14ac:dyDescent="0.3">
      <c r="B40" s="49" t="str">
        <f>Bemenet!B132</f>
        <v>Külső szolgáltatások</v>
      </c>
      <c r="D40" s="48">
        <f>SUM(D41:D44)</f>
        <v>746023.2</v>
      </c>
      <c r="E40" s="48">
        <f>SUM(E41:E44)</f>
        <v>674260.4</v>
      </c>
      <c r="F40" s="48">
        <f>SUM(F41:F44)</f>
        <v>721330.4</v>
      </c>
    </row>
    <row r="41" spans="2:6" ht="15.75" customHeight="1" outlineLevel="1" x14ac:dyDescent="0.25">
      <c r="B41" t="str">
        <f>Bemenet!B133</f>
        <v>Platformfejlesztés (új modulok, fordítások)</v>
      </c>
      <c r="C41" t="s">
        <v>82</v>
      </c>
      <c r="D41" s="32">
        <f>SUM(Bemenet!D133:O133)</f>
        <v>300000</v>
      </c>
      <c r="E41" s="32">
        <f>SUM(Bemenet!P133:S133)</f>
        <v>0</v>
      </c>
      <c r="F41" s="32">
        <f>Bemenet!T133</f>
        <v>0</v>
      </c>
    </row>
    <row r="42" spans="2:6" ht="15.75" customHeight="1" outlineLevel="1" x14ac:dyDescent="0.25">
      <c r="B42" t="str">
        <f>Bemenet!B134</f>
        <v>Könyvelés</v>
      </c>
      <c r="C42" t="s">
        <v>82</v>
      </c>
      <c r="D42" s="32">
        <f>SUM(Bemenet!D134:O134)</f>
        <v>6000</v>
      </c>
      <c r="E42" s="32">
        <f>SUM(Bemenet!P134:S134)</f>
        <v>6000</v>
      </c>
      <c r="F42" s="32">
        <f>Bemenet!T134</f>
        <v>6000</v>
      </c>
    </row>
    <row r="43" spans="2:6" ht="15.75" customHeight="1" outlineLevel="1" x14ac:dyDescent="0.25">
      <c r="B43" t="str">
        <f>Bemenet!B135</f>
        <v>Jogi tanácsadás</v>
      </c>
      <c r="C43" t="s">
        <v>82</v>
      </c>
      <c r="D43" s="32">
        <f>SUM(Bemenet!D135:O135)</f>
        <v>12000</v>
      </c>
      <c r="E43" s="32">
        <f>SUM(Bemenet!P135:S135)</f>
        <v>12000</v>
      </c>
      <c r="F43" s="32">
        <f>Bemenet!T135</f>
        <v>12000</v>
      </c>
    </row>
    <row r="44" spans="2:6" ht="15.75" customHeight="1" outlineLevel="1" x14ac:dyDescent="0.25">
      <c r="B44" t="str">
        <f>Bemenet!B136</f>
        <v>Külső HR</v>
      </c>
      <c r="C44" t="s">
        <v>82</v>
      </c>
      <c r="D44" s="32">
        <f>SUM(Bemenet!D136:O136)</f>
        <v>428023.2</v>
      </c>
      <c r="E44" s="32">
        <f>SUM(Bemenet!P136:S136)</f>
        <v>656260.4</v>
      </c>
      <c r="F44" s="32">
        <f>Bemenet!T136</f>
        <v>703330.4</v>
      </c>
    </row>
    <row r="45" spans="2:6" ht="15.75" customHeight="1" outlineLevel="1" x14ac:dyDescent="0.25">
      <c r="B45" s="18"/>
      <c r="D45" s="32"/>
      <c r="E45" s="32"/>
      <c r="F45" s="32"/>
    </row>
    <row r="46" spans="2:6" ht="15.75" customHeight="1" x14ac:dyDescent="0.3">
      <c r="B46" s="118" t="str">
        <f>Bemenet!B155</f>
        <v>Amerikai kontinens OPEX</v>
      </c>
      <c r="C46" s="116"/>
      <c r="D46" s="112"/>
      <c r="E46" s="112"/>
      <c r="F46" s="112"/>
    </row>
    <row r="47" spans="2:6" ht="15.75" customHeight="1" outlineLevel="1" x14ac:dyDescent="0.25"/>
    <row r="48" spans="2:6" ht="15.75" customHeight="1" outlineLevel="1" x14ac:dyDescent="0.3">
      <c r="B48" s="24" t="str">
        <f>Bemenet!B157</f>
        <v>Kifizetett forgalomszervezési jutalékok</v>
      </c>
    </row>
    <row r="49" spans="2:6" ht="15.75" customHeight="1" outlineLevel="1" x14ac:dyDescent="0.25">
      <c r="B49" s="18" t="str">
        <f>Bemenet!B159</f>
        <v>Bercode-kibocsátóknak fizetett forgalomszervezési jutalékok / bercode használat</v>
      </c>
      <c r="C49" t="s">
        <v>82</v>
      </c>
      <c r="D49" s="32">
        <f>SUM(Bemenet!D159:O159)</f>
        <v>3500</v>
      </c>
      <c r="E49" s="32">
        <f>SUM(Bemenet!P159:S159)</f>
        <v>12708800.779960968</v>
      </c>
      <c r="F49" s="32">
        <f>Bemenet!T159</f>
        <v>60746389.976238593</v>
      </c>
    </row>
    <row r="50" spans="2:6" ht="15.75" customHeight="1" outlineLevel="1" x14ac:dyDescent="0.25">
      <c r="B50" s="18" t="str">
        <f>Bemenet!B161</f>
        <v>Bercode-kibocsátóknak fizetett forgalomszervezési jutalékok / kereskedő</v>
      </c>
      <c r="C50" t="s">
        <v>82</v>
      </c>
      <c r="D50" s="32">
        <f>SUM(Bemenet!D161:O161)</f>
        <v>3500</v>
      </c>
      <c r="E50" s="32">
        <f>SUM(Bemenet!P161:S161)</f>
        <v>12708800.779960968</v>
      </c>
      <c r="F50" s="32">
        <f>Bemenet!T161</f>
        <v>60746389.976238593</v>
      </c>
    </row>
    <row r="51" spans="2:6" ht="15.75" customHeight="1" outlineLevel="1" x14ac:dyDescent="0.25"/>
    <row r="52" spans="2:6" ht="15.75" customHeight="1" outlineLevel="1" x14ac:dyDescent="0.3">
      <c r="B52" s="24" t="s">
        <v>174</v>
      </c>
      <c r="D52" s="32"/>
    </row>
    <row r="53" spans="2:6" ht="15.75" customHeight="1" outlineLevel="2" x14ac:dyDescent="0.3">
      <c r="B53" s="50" t="s">
        <v>159</v>
      </c>
      <c r="D53" s="48">
        <f>SUM(D54:D57)</f>
        <v>313189.136</v>
      </c>
      <c r="E53" s="48">
        <f>SUM(E54:E57)</f>
        <v>555049.44000000006</v>
      </c>
      <c r="F53" s="48">
        <f>SUM(F54:F57)</f>
        <v>555049.44000000006</v>
      </c>
    </row>
    <row r="54" spans="2:6" ht="15.75" customHeight="1" outlineLevel="2" x14ac:dyDescent="0.25">
      <c r="B54" s="18" t="str">
        <f>Bemenet!B165</f>
        <v>Az amerikai kontinens felhasználóinak/partnereinek támogatása</v>
      </c>
      <c r="C54" s="18" t="s">
        <v>82</v>
      </c>
      <c r="D54" s="32">
        <f>Bemenet!D171/12*SUM(Bemenet!D165:O165)</f>
        <v>38702</v>
      </c>
      <c r="E54" s="32">
        <f>Bemenet!D171/12*SUM(Bemenet!P165:S165)*3</f>
        <v>92884.800000000003</v>
      </c>
      <c r="F54" s="32">
        <f>Bemenet!D171*Bemenet!T165</f>
        <v>92884.800000000003</v>
      </c>
    </row>
    <row r="55" spans="2:6" ht="15.75" customHeight="1" outlineLevel="2" x14ac:dyDescent="0.25">
      <c r="B55" s="18" t="str">
        <f>Bemenet!B166</f>
        <v xml:space="preserve">Management </v>
      </c>
      <c r="C55" s="18" t="s">
        <v>82</v>
      </c>
      <c r="D55" s="32">
        <f>Bemenet!D172/12*SUM(Bemenet!D166:O166)</f>
        <v>135611.80800000002</v>
      </c>
      <c r="E55" s="32">
        <f>Bemenet!D172/12*SUM(Bemenet!P166:S166)*3</f>
        <v>271223.61600000004</v>
      </c>
      <c r="F55" s="32">
        <f>Bemenet!D172*Bemenet!T166</f>
        <v>271223.61600000004</v>
      </c>
    </row>
    <row r="56" spans="2:6" ht="15.75" customHeight="1" outlineLevel="2" x14ac:dyDescent="0.25">
      <c r="B56" s="18" t="str">
        <f>Bemenet!B167</f>
        <v xml:space="preserve">Titkárság </v>
      </c>
      <c r="C56" s="18" t="s">
        <v>82</v>
      </c>
      <c r="D56" s="32">
        <f>Bemenet!D173/12*SUM(Bemenet!D167:O167)</f>
        <v>52065.695999999996</v>
      </c>
      <c r="E56" s="32">
        <f>Bemenet!D173/12*SUM(Bemenet!P167:S167)*3</f>
        <v>104131.39199999999</v>
      </c>
      <c r="F56" s="32">
        <f>Bemenet!D173*Bemenet!T167</f>
        <v>104131.39200000001</v>
      </c>
    </row>
    <row r="57" spans="2:6" ht="15.75" customHeight="1" outlineLevel="2" x14ac:dyDescent="0.25">
      <c r="B57" s="18" t="str">
        <f>Bemenet!B168</f>
        <v>Marketing menedzser</v>
      </c>
      <c r="C57" s="18" t="s">
        <v>82</v>
      </c>
      <c r="D57" s="32">
        <f>Bemenet!D174/12*SUM(Bemenet!D168:O168)</f>
        <v>86809.631999999998</v>
      </c>
      <c r="E57" s="32">
        <f>Bemenet!D174/12*SUM(Bemenet!P168:S168)*3</f>
        <v>86809.631999999998</v>
      </c>
      <c r="F57" s="32">
        <f>Bemenet!D174*Bemenet!T168</f>
        <v>86809.631999999998</v>
      </c>
    </row>
    <row r="58" spans="2:6" ht="15.75" customHeight="1" outlineLevel="2" x14ac:dyDescent="0.25"/>
    <row r="59" spans="2:6" ht="15.75" customHeight="1" outlineLevel="2" x14ac:dyDescent="0.3">
      <c r="B59" s="41" t="s">
        <v>226</v>
      </c>
      <c r="C59" s="18" t="s">
        <v>82</v>
      </c>
      <c r="D59" s="32">
        <f>SUM(D54:D57)*Bemenet!$D$13</f>
        <v>31318.9136</v>
      </c>
      <c r="E59" s="32">
        <f>SUM(E54:E57)*Bemenet!$D$13</f>
        <v>55504.94400000001</v>
      </c>
      <c r="F59" s="32">
        <f>SUM(F54:F57)*Bemenet!$D$13</f>
        <v>55504.94400000001</v>
      </c>
    </row>
    <row r="60" spans="2:6" ht="15.75" customHeight="1" outlineLevel="1" x14ac:dyDescent="0.25">
      <c r="B60" s="18"/>
      <c r="D60" s="32"/>
      <c r="E60" s="32"/>
      <c r="F60" s="32"/>
    </row>
    <row r="61" spans="2:6" ht="15.75" customHeight="1" outlineLevel="1" x14ac:dyDescent="0.3">
      <c r="B61" s="24" t="str">
        <f>Bemenet!B176</f>
        <v>Irodai és adminisztrációs költségek</v>
      </c>
      <c r="D61" s="48">
        <f t="shared" ref="D61:F61" si="0">SUM(D62:D64)</f>
        <v>8858.89</v>
      </c>
      <c r="E61" s="48">
        <f t="shared" si="0"/>
        <v>124113.36000000002</v>
      </c>
      <c r="F61" s="48">
        <f t="shared" si="0"/>
        <v>124113.36000000002</v>
      </c>
    </row>
    <row r="62" spans="2:6" ht="15.75" customHeight="1" outlineLevel="1" x14ac:dyDescent="0.25">
      <c r="B62" s="18" t="str">
        <f>Bemenet!B177</f>
        <v>Irodabérleti díj + általános költségek</v>
      </c>
      <c r="C62" s="18" t="s">
        <v>82</v>
      </c>
      <c r="D62" s="32">
        <f>SUM(Bemenet!D177:O177)</f>
        <v>4408.8900000000003</v>
      </c>
      <c r="E62" s="32">
        <f>SUM(Bemenet!P177:S177)</f>
        <v>105813.36000000002</v>
      </c>
      <c r="F62" s="32">
        <f>Bemenet!T177</f>
        <v>105813.36000000002</v>
      </c>
    </row>
    <row r="63" spans="2:6" ht="15.75" customHeight="1" outlineLevel="1" x14ac:dyDescent="0.25">
      <c r="B63" s="18" t="str">
        <f>Bemenet!B178</f>
        <v>Telefon és internet</v>
      </c>
      <c r="C63" s="18" t="s">
        <v>82</v>
      </c>
      <c r="D63" s="32">
        <f>SUM(Bemenet!D178:O178)</f>
        <v>3450</v>
      </c>
      <c r="E63" s="32">
        <f>SUM(Bemenet!P178:S178)</f>
        <v>6300</v>
      </c>
      <c r="F63" s="32">
        <f>Bemenet!T178</f>
        <v>6300</v>
      </c>
    </row>
    <row r="64" spans="2:6" ht="15.75" customHeight="1" outlineLevel="1" x14ac:dyDescent="0.25">
      <c r="B64" s="18" t="str">
        <f>Bemenet!B179</f>
        <v>Autólízing a menedzsment számára</v>
      </c>
      <c r="C64" s="18" t="s">
        <v>82</v>
      </c>
      <c r="D64" s="32">
        <f>SUM(Bemenet!D179:O179)</f>
        <v>1000</v>
      </c>
      <c r="E64" s="32">
        <f>SUM(Bemenet!P179:S179)</f>
        <v>12000</v>
      </c>
      <c r="F64" s="32">
        <f>Bemenet!T179</f>
        <v>12000</v>
      </c>
    </row>
    <row r="65" spans="2:6" ht="15.75" customHeight="1" outlineLevel="1" x14ac:dyDescent="0.25">
      <c r="B65" s="18"/>
      <c r="D65" s="32"/>
      <c r="E65" s="32"/>
      <c r="F65" s="32"/>
    </row>
    <row r="66" spans="2:6" ht="15.75" customHeight="1" outlineLevel="1" x14ac:dyDescent="0.3">
      <c r="B66" s="24" t="str">
        <f>Bemenet!B182</f>
        <v>Marketing és üzletfejlesztés</v>
      </c>
      <c r="D66" s="48">
        <f>SUM(D67:D68)</f>
        <v>196000</v>
      </c>
      <c r="E66" s="48">
        <f>SUM(E67:E68)</f>
        <v>636000</v>
      </c>
      <c r="F66" s="48">
        <f>SUM(F67:F68)</f>
        <v>636000</v>
      </c>
    </row>
    <row r="67" spans="2:6" ht="15.75" customHeight="1" outlineLevel="1" x14ac:dyDescent="0.25">
      <c r="B67" s="18" t="str">
        <f>Bemenet!B183</f>
        <v>Szponzoráció hírességek számára a piac beindításához</v>
      </c>
      <c r="C67" s="18" t="s">
        <v>82</v>
      </c>
      <c r="D67" s="32">
        <f>SUM(Bemenet!D183:O183)</f>
        <v>175000</v>
      </c>
      <c r="E67" s="32">
        <f>SUM(Bemenet!P183:S183)</f>
        <v>600000</v>
      </c>
      <c r="F67" s="32">
        <f>Bemenet!T183</f>
        <v>600000</v>
      </c>
    </row>
    <row r="68" spans="2:6" ht="15.75" customHeight="1" outlineLevel="1" x14ac:dyDescent="0.25">
      <c r="B68" s="18" t="str">
        <f>Bemenet!B184</f>
        <v>Online hirdetések - Facebook, Instagram, TikTok</v>
      </c>
      <c r="C68" s="18" t="s">
        <v>82</v>
      </c>
      <c r="D68" s="32">
        <f>SUM(Bemenet!D184:O184)</f>
        <v>21000</v>
      </c>
      <c r="E68" s="32">
        <f>SUM(Bemenet!P184:S184)</f>
        <v>36000</v>
      </c>
      <c r="F68" s="32">
        <f>Bemenet!T184</f>
        <v>36000</v>
      </c>
    </row>
    <row r="69" spans="2:6" ht="15.75" customHeight="1" outlineLevel="1" x14ac:dyDescent="0.25">
      <c r="B69" s="18"/>
      <c r="D69" s="32"/>
      <c r="E69" s="32"/>
      <c r="F69" s="32"/>
    </row>
    <row r="70" spans="2:6" ht="15.75" customHeight="1" outlineLevel="1" x14ac:dyDescent="0.3">
      <c r="B70" s="24" t="str">
        <f>Bemenet!B186</f>
        <v>Egyéb működési költségek</v>
      </c>
      <c r="D70" s="32"/>
      <c r="E70" s="32"/>
      <c r="F70" s="32"/>
    </row>
    <row r="71" spans="2:6" ht="15.75" customHeight="1" outlineLevel="1" x14ac:dyDescent="0.25">
      <c r="B71" s="18" t="str">
        <f>Bemenet!B187</f>
        <v>Utazás</v>
      </c>
      <c r="C71" t="s">
        <v>82</v>
      </c>
      <c r="D71" s="32">
        <f>SUM(Bemenet!D187:O187)</f>
        <v>7000</v>
      </c>
      <c r="E71" s="32">
        <f>SUM(Bemenet!P187:S187)</f>
        <v>24000</v>
      </c>
      <c r="F71" s="32">
        <f>Bemenet!T187</f>
        <v>24000</v>
      </c>
    </row>
    <row r="72" spans="2:6" ht="15.75" customHeight="1" outlineLevel="1" x14ac:dyDescent="0.25">
      <c r="B72" s="18"/>
      <c r="D72" s="32"/>
      <c r="E72" s="32"/>
      <c r="F72" s="32"/>
    </row>
    <row r="73" spans="2:6" ht="15.75" customHeight="1" outlineLevel="1" x14ac:dyDescent="0.25">
      <c r="B73" s="18"/>
      <c r="D73" s="32"/>
      <c r="E73" s="32"/>
      <c r="F73" s="32"/>
    </row>
    <row r="74" spans="2:6" ht="15.75" customHeight="1" outlineLevel="1" x14ac:dyDescent="0.3">
      <c r="B74" s="118" t="str">
        <f>Bemenet!B190</f>
        <v>Ázsiai kontinens OPEX</v>
      </c>
      <c r="C74" s="116"/>
      <c r="D74" s="116"/>
      <c r="E74" s="116"/>
      <c r="F74" s="116"/>
    </row>
    <row r="75" spans="2:6" ht="15.75" customHeight="1" outlineLevel="1" x14ac:dyDescent="0.25">
      <c r="B75" s="18"/>
      <c r="D75" s="32"/>
      <c r="E75" s="32"/>
      <c r="F75" s="32"/>
    </row>
    <row r="76" spans="2:6" ht="15.75" customHeight="1" outlineLevel="1" x14ac:dyDescent="0.3">
      <c r="B76" s="24" t="str">
        <f>Bemenet!B192</f>
        <v>Kifizetett forgalomszervezési jutalékok</v>
      </c>
      <c r="D76" s="32"/>
      <c r="E76" s="32"/>
      <c r="F76" s="32"/>
    </row>
    <row r="77" spans="2:6" ht="15.75" customHeight="1" outlineLevel="1" x14ac:dyDescent="0.25">
      <c r="B77" s="18" t="str">
        <f>Bemenet!B194</f>
        <v>Bercode-kibocsátóknak fizetett forgalomszervezési jutalékok / bercode használat</v>
      </c>
      <c r="C77" t="s">
        <v>82</v>
      </c>
      <c r="D77" s="32">
        <f>SUM(Bemenet!D194:O194)</f>
        <v>0</v>
      </c>
      <c r="E77" s="32">
        <f>Bemenet!S194</f>
        <v>0</v>
      </c>
      <c r="F77" s="32">
        <f>Bemenet!T194</f>
        <v>716040</v>
      </c>
    </row>
    <row r="78" spans="2:6" ht="15.75" customHeight="1" outlineLevel="1" x14ac:dyDescent="0.25">
      <c r="B78" s="18" t="str">
        <f>Bemenet!B196</f>
        <v>Bercode-kibocsátóknak fizetett forgalomszervezési jutalékok / kereskedő</v>
      </c>
      <c r="C78" t="s">
        <v>82</v>
      </c>
      <c r="D78" s="32">
        <f>SUM(Bemenet!D196:O196)</f>
        <v>0</v>
      </c>
      <c r="E78" s="32">
        <f>Bemenet!S196</f>
        <v>0</v>
      </c>
      <c r="F78" s="32">
        <f>Bemenet!T196</f>
        <v>716040</v>
      </c>
    </row>
    <row r="79" spans="2:6" ht="15.75" customHeight="1" outlineLevel="1" x14ac:dyDescent="0.25">
      <c r="B79" s="18"/>
      <c r="D79" s="32"/>
      <c r="E79" s="32"/>
      <c r="F79" s="32"/>
    </row>
    <row r="80" spans="2:6" ht="15.75" customHeight="1" outlineLevel="1" x14ac:dyDescent="0.3">
      <c r="B80" s="24" t="str">
        <f>Bemenet!B198</f>
        <v>Személyi kiadások</v>
      </c>
      <c r="D80" s="48">
        <f>SUM(D81:D84)</f>
        <v>6852.550834043589</v>
      </c>
      <c r="E80" s="48">
        <f t="shared" ref="E80:F80" si="1">SUM(E81:E84)</f>
        <v>39785.705588700846</v>
      </c>
      <c r="F80" s="48">
        <f t="shared" si="1"/>
        <v>57421.161573115794</v>
      </c>
    </row>
    <row r="81" spans="2:6" ht="15.75" customHeight="1" outlineLevel="1" x14ac:dyDescent="0.25">
      <c r="B81" s="18" t="str">
        <f>Bemenet!B200</f>
        <v>Támogatás a felhasználók/partnerek számára Ázsia kontinens</v>
      </c>
      <c r="C81" t="s">
        <v>82</v>
      </c>
      <c r="D81" s="32">
        <f>Bemenet!D206/12*SUM(Bemenet!D200:O200)</f>
        <v>530.86570071837332</v>
      </c>
      <c r="E81" s="32">
        <f>Bemenet!D206/12*SUM(Bemenet!P200:S200)*3</f>
        <v>6370.3884086204798</v>
      </c>
      <c r="F81" s="32">
        <f>Bemenet!D206*Bemenet!T200</f>
        <v>9555.5826129307206</v>
      </c>
    </row>
    <row r="82" spans="2:6" ht="15.75" customHeight="1" outlineLevel="1" x14ac:dyDescent="0.25">
      <c r="B82" s="18" t="str">
        <f>Bemenet!B201</f>
        <v xml:space="preserve">Menedzsment </v>
      </c>
      <c r="C82" t="s">
        <v>82</v>
      </c>
      <c r="D82" s="32">
        <f>Bemenet!D207/12*SUM(Bemenet!D201:O201)</f>
        <v>3472.5435285522949</v>
      </c>
      <c r="E82" s="32">
        <f>Bemenet!D207/12*SUM(Bemenet!P201:S201)*3</f>
        <v>20835.26117131377</v>
      </c>
      <c r="F82" s="32">
        <f>Bemenet!D207*Bemenet!T201</f>
        <v>31252.891756970654</v>
      </c>
    </row>
    <row r="83" spans="2:6" ht="15.75" customHeight="1" outlineLevel="1" x14ac:dyDescent="0.25">
      <c r="B83" s="18" t="str">
        <f>Bemenet!B202</f>
        <v xml:space="preserve">Titkárság </v>
      </c>
      <c r="C83" t="s">
        <v>82</v>
      </c>
      <c r="D83" s="32">
        <f>Bemenet!D208/12*SUM(Bemenet!D202:O202)</f>
        <v>1344.2103981492758</v>
      </c>
      <c r="E83" s="32">
        <f>Bemenet!D208/12*SUM(Bemenet!P202:S202)*3</f>
        <v>8065.262388895655</v>
      </c>
      <c r="F83" s="32">
        <f>Bemenet!D208*Bemenet!T202</f>
        <v>12097.893583343481</v>
      </c>
    </row>
    <row r="84" spans="2:6" ht="15.75" customHeight="1" outlineLevel="1" x14ac:dyDescent="0.25">
      <c r="B84" s="18" t="str">
        <f>Bemenet!B203</f>
        <v>Marketing menedzser</v>
      </c>
      <c r="C84" t="s">
        <v>82</v>
      </c>
      <c r="D84" s="32">
        <f>Bemenet!D209/12*SUM(Bemenet!D203:O203)</f>
        <v>1504.9312066236455</v>
      </c>
      <c r="E84" s="32">
        <f>Bemenet!D209/12*SUM(Bemenet!P203:S203)*3</f>
        <v>4514.7936198709367</v>
      </c>
      <c r="F84" s="32">
        <f>Bemenet!D209*Bemenet!T203</f>
        <v>4514.7936198709367</v>
      </c>
    </row>
    <row r="85" spans="2:6" ht="15.75" customHeight="1" outlineLevel="1" x14ac:dyDescent="0.25">
      <c r="B85" s="18"/>
      <c r="D85" s="32"/>
      <c r="E85" s="32"/>
      <c r="F85" s="32"/>
    </row>
    <row r="86" spans="2:6" ht="15.75" customHeight="1" outlineLevel="2" x14ac:dyDescent="0.3">
      <c r="B86" s="41" t="s">
        <v>226</v>
      </c>
      <c r="C86" s="18" t="s">
        <v>82</v>
      </c>
      <c r="D86" s="32">
        <f>SUM(D81:D84)*Bemenet!$D$13</f>
        <v>685.25508340435897</v>
      </c>
      <c r="E86" s="32">
        <f>SUM(E81:E84)*Bemenet!$D$13</f>
        <v>3978.5705588700848</v>
      </c>
      <c r="F86" s="32">
        <f>SUM(F81:F84)*Bemenet!$D$13</f>
        <v>5742.1161573115796</v>
      </c>
    </row>
    <row r="87" spans="2:6" ht="15.75" customHeight="1" outlineLevel="1" x14ac:dyDescent="0.25">
      <c r="B87" s="18"/>
      <c r="D87" s="32"/>
      <c r="E87" s="32"/>
      <c r="F87" s="32"/>
    </row>
    <row r="88" spans="2:6" ht="15.75" customHeight="1" outlineLevel="1" x14ac:dyDescent="0.3">
      <c r="B88" s="24" t="str">
        <f>Bemenet!B211</f>
        <v>Irodai és adminisztrációs költségek</v>
      </c>
      <c r="D88" s="48">
        <f>SUM(D89:D91)</f>
        <v>7838</v>
      </c>
      <c r="E88" s="48">
        <f t="shared" ref="E88:F88" si="2">SUM(E89:E91)</f>
        <v>47028</v>
      </c>
      <c r="F88" s="48">
        <f t="shared" si="2"/>
        <v>70242</v>
      </c>
    </row>
    <row r="89" spans="2:6" ht="15.75" customHeight="1" outlineLevel="1" x14ac:dyDescent="0.25">
      <c r="B89" s="18" t="str">
        <f>Bemenet!B212</f>
        <v>Irodabérleti díj + általános költségek</v>
      </c>
      <c r="C89" s="18" t="s">
        <v>82</v>
      </c>
      <c r="D89" s="32">
        <f>SUM(Bemenet!D212:O212)</f>
        <v>3138</v>
      </c>
      <c r="E89" s="32">
        <f>SUM(Bemenet!P212:S212)</f>
        <v>18828</v>
      </c>
      <c r="F89" s="32">
        <f>Bemenet!T212</f>
        <v>28242</v>
      </c>
    </row>
    <row r="90" spans="2:6" ht="15.75" customHeight="1" outlineLevel="1" x14ac:dyDescent="0.25">
      <c r="B90" s="18" t="str">
        <f>Bemenet!B213</f>
        <v>Telefon és internet</v>
      </c>
      <c r="C90" s="18" t="s">
        <v>82</v>
      </c>
      <c r="D90" s="32">
        <f>SUM(Bemenet!D213:O213)</f>
        <v>700</v>
      </c>
      <c r="E90" s="32">
        <f>SUM(Bemenet!P213:S213)</f>
        <v>4200</v>
      </c>
      <c r="F90" s="32">
        <f>Bemenet!T213</f>
        <v>6000</v>
      </c>
    </row>
    <row r="91" spans="2:6" ht="15.75" customHeight="1" outlineLevel="1" x14ac:dyDescent="0.25">
      <c r="B91" s="18" t="str">
        <f>Bemenet!B214</f>
        <v>Autólízing a menedzsment számára</v>
      </c>
      <c r="C91" s="18" t="s">
        <v>82</v>
      </c>
      <c r="D91" s="32">
        <f>SUM(Bemenet!D214:O214)</f>
        <v>4000</v>
      </c>
      <c r="E91" s="32">
        <f>SUM(Bemenet!P214:S214)</f>
        <v>24000</v>
      </c>
      <c r="F91" s="32">
        <f>Bemenet!T214</f>
        <v>36000</v>
      </c>
    </row>
    <row r="92" spans="2:6" ht="15.75" customHeight="1" outlineLevel="1" x14ac:dyDescent="0.25">
      <c r="B92" s="18"/>
      <c r="D92" s="32"/>
      <c r="E92" s="32"/>
      <c r="F92" s="32"/>
    </row>
    <row r="93" spans="2:6" ht="15.75" customHeight="1" outlineLevel="1" x14ac:dyDescent="0.3">
      <c r="B93" s="24" t="str">
        <f>Bemenet!B217</f>
        <v>Marketing és üzletfejlesztés</v>
      </c>
      <c r="D93" s="48">
        <f>SUM(D94:D95)</f>
        <v>309000</v>
      </c>
      <c r="E93" s="48">
        <f>SUM(E94:E95)</f>
        <v>636000</v>
      </c>
      <c r="F93" s="48">
        <f>SUM(F94:F95)</f>
        <v>36000</v>
      </c>
    </row>
    <row r="94" spans="2:6" ht="15.75" customHeight="1" outlineLevel="1" x14ac:dyDescent="0.25">
      <c r="B94" s="18" t="str">
        <f>Bemenet!B218</f>
        <v>Szponzoráció hírességek számára a piac beindításához</v>
      </c>
      <c r="C94" s="18" t="s">
        <v>82</v>
      </c>
      <c r="D94" s="32">
        <f>SUM(Bemenet!D218:O218)</f>
        <v>300000</v>
      </c>
      <c r="E94" s="32">
        <f>SUM(Bemenet!P218:S218)</f>
        <v>600000</v>
      </c>
      <c r="F94" s="32">
        <f>Bemenet!T218</f>
        <v>0</v>
      </c>
    </row>
    <row r="95" spans="2:6" ht="15.75" customHeight="1" outlineLevel="1" x14ac:dyDescent="0.25">
      <c r="B95" s="18" t="str">
        <f>Bemenet!B219</f>
        <v>Online hirdetések - Facebook, Instagram, TikTok</v>
      </c>
      <c r="C95" s="18" t="s">
        <v>82</v>
      </c>
      <c r="D95" s="32">
        <f>SUM(Bemenet!D219:O219)</f>
        <v>9000</v>
      </c>
      <c r="E95" s="32">
        <f>SUM(Bemenet!P219:S219)</f>
        <v>36000</v>
      </c>
      <c r="F95" s="32">
        <f>Bemenet!T219</f>
        <v>36000</v>
      </c>
    </row>
    <row r="96" spans="2:6" ht="15.75" customHeight="1" outlineLevel="1" x14ac:dyDescent="0.25">
      <c r="B96" s="18"/>
      <c r="D96" s="32"/>
      <c r="E96" s="32"/>
      <c r="F96" s="32"/>
    </row>
    <row r="97" spans="2:6" ht="15.75" customHeight="1" outlineLevel="1" x14ac:dyDescent="0.3">
      <c r="B97" s="24" t="str">
        <f>Bemenet!B221</f>
        <v>Egyéb működési költségek</v>
      </c>
      <c r="D97" s="32"/>
      <c r="E97" s="32"/>
      <c r="F97" s="32"/>
    </row>
    <row r="98" spans="2:6" ht="15.75" customHeight="1" outlineLevel="1" x14ac:dyDescent="0.25">
      <c r="B98" s="18" t="str">
        <f>Bemenet!B222</f>
        <v>Utazás</v>
      </c>
      <c r="C98" t="s">
        <v>82</v>
      </c>
      <c r="D98" s="32">
        <f>SUM(Bemenet!D222:O222)</f>
        <v>4000</v>
      </c>
      <c r="E98" s="32">
        <f>SUM(Bemenet!P222:S222)</f>
        <v>24000</v>
      </c>
      <c r="F98" s="32">
        <f>Bemenet!T222</f>
        <v>36000</v>
      </c>
    </row>
    <row r="99" spans="2:6" ht="15.75" customHeight="1" outlineLevel="1" x14ac:dyDescent="0.25">
      <c r="B99" s="18"/>
      <c r="D99" s="32"/>
      <c r="E99" s="32"/>
      <c r="F99" s="32"/>
    </row>
    <row r="100" spans="2:6" ht="15.75" customHeight="1" x14ac:dyDescent="0.25"/>
    <row r="101" spans="2:6" ht="15.75" customHeight="1" x14ac:dyDescent="0.3">
      <c r="B101" s="118" t="s">
        <v>210</v>
      </c>
      <c r="C101" s="116"/>
      <c r="D101" s="112"/>
      <c r="E101" s="112"/>
      <c r="F101" s="112"/>
    </row>
    <row r="102" spans="2:6" ht="15.75" customHeight="1" outlineLevel="1" x14ac:dyDescent="0.25"/>
    <row r="103" spans="2:6" ht="15.75" customHeight="1" outlineLevel="1" x14ac:dyDescent="0.3">
      <c r="B103" s="24" t="s">
        <v>211</v>
      </c>
    </row>
    <row r="104" spans="2:6" ht="15.75" customHeight="1" outlineLevel="1" x14ac:dyDescent="0.25">
      <c r="B104" s="18" t="s">
        <v>227</v>
      </c>
      <c r="C104" s="18" t="s">
        <v>82</v>
      </c>
      <c r="D104" s="32">
        <f>Bemenet!D230*SUM(Bemenet!O165:O168,Bemenet!O200:O203)</f>
        <v>24000</v>
      </c>
      <c r="E104" s="32">
        <f>Bemenet!D230*(SUM(Bemenet!S200:S203)-SUM(Bemenet!O200:O203))</f>
        <v>18000</v>
      </c>
      <c r="F104" s="32">
        <f>Bemenet!D230*(SUM(Bemenet!T165:T168,Bemenet!T200:T203)-SUM(Bemenet!S165:S168,Bemenet!S200:S203))</f>
        <v>0</v>
      </c>
    </row>
    <row r="105" spans="2:6" ht="15.75" customHeight="1" outlineLevel="1" x14ac:dyDescent="0.25">
      <c r="B105" s="18" t="str">
        <f>Bemenet!B231</f>
        <v>Amortizáció</v>
      </c>
      <c r="C105" s="18" t="s">
        <v>82</v>
      </c>
      <c r="D105" s="32">
        <f t="shared" ref="D105:F105" si="3">SUM(D106:D108)</f>
        <v>4800</v>
      </c>
      <c r="E105" s="32">
        <f t="shared" si="3"/>
        <v>8400</v>
      </c>
      <c r="F105" s="32">
        <f t="shared" si="3"/>
        <v>8400</v>
      </c>
    </row>
    <row r="106" spans="2:6" ht="15.75" customHeight="1" outlineLevel="2" x14ac:dyDescent="0.25">
      <c r="B106" s="51" t="s">
        <v>228</v>
      </c>
      <c r="C106" s="51" t="s">
        <v>82</v>
      </c>
      <c r="D106" s="32">
        <f>D104*Bemenet!$D$231</f>
        <v>4800</v>
      </c>
      <c r="E106" s="32">
        <f>IF($D$106&lt;$D$104,$D$104*Bemenet!$D$231,0)</f>
        <v>4800</v>
      </c>
      <c r="F106" s="32">
        <f>IF(($D$106+$E$106)&lt;$D$104,$D$104*Bemenet!$D$231,0)</f>
        <v>4800</v>
      </c>
    </row>
    <row r="107" spans="2:6" ht="15.75" customHeight="1" outlineLevel="2" x14ac:dyDescent="0.25">
      <c r="B107" s="51" t="s">
        <v>229</v>
      </c>
      <c r="C107" s="51" t="s">
        <v>82</v>
      </c>
      <c r="D107" s="32">
        <v>0</v>
      </c>
      <c r="E107" s="32">
        <f>E104*Bemenet!$D$231</f>
        <v>3600</v>
      </c>
      <c r="F107" s="32">
        <f>IF($E$107&lt;$E$104,$E$104*Bemenet!$D$231,0)</f>
        <v>3600</v>
      </c>
    </row>
    <row r="108" spans="2:6" ht="15.75" customHeight="1" outlineLevel="2" x14ac:dyDescent="0.25">
      <c r="B108" s="51" t="s">
        <v>68</v>
      </c>
      <c r="C108" s="51" t="s">
        <v>82</v>
      </c>
      <c r="D108" s="32">
        <v>0</v>
      </c>
      <c r="E108" s="32">
        <v>0</v>
      </c>
      <c r="F108" s="32">
        <f>F104*Bemenet!$D$231</f>
        <v>0</v>
      </c>
    </row>
    <row r="109" spans="2:6" ht="15.75" customHeight="1" outlineLevel="1" x14ac:dyDescent="0.25">
      <c r="B109" s="18" t="s">
        <v>230</v>
      </c>
      <c r="C109" s="18" t="s">
        <v>82</v>
      </c>
      <c r="D109" s="32">
        <f>D104-D105</f>
        <v>19200</v>
      </c>
      <c r="E109" s="32">
        <f t="shared" ref="E109:F109" si="4">SUM($D$104:E104)-SUM($D$105:E105)</f>
        <v>28800</v>
      </c>
      <c r="F109" s="32">
        <f t="shared" si="4"/>
        <v>20400</v>
      </c>
    </row>
    <row r="110" spans="2:6" ht="15.75" customHeight="1" outlineLevel="1" x14ac:dyDescent="0.25"/>
    <row r="111" spans="2:6" ht="15.75" customHeight="1" outlineLevel="1" x14ac:dyDescent="0.25"/>
    <row r="112" spans="2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>
    <outlinePr summaryBelow="0" summaryRight="0"/>
  </sheetPr>
  <dimension ref="A1:Z1006"/>
  <sheetViews>
    <sheetView topLeftCell="B13" workbookViewId="0">
      <selection activeCell="A13" sqref="A13"/>
    </sheetView>
  </sheetViews>
  <sheetFormatPr defaultColWidth="14.453125" defaultRowHeight="15" customHeight="1" x14ac:dyDescent="0.25"/>
  <cols>
    <col min="1" max="1" width="3.7265625" customWidth="1"/>
    <col min="2" max="2" width="66.26953125" bestFit="1" customWidth="1"/>
    <col min="3" max="3" width="7.179687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231</v>
      </c>
    </row>
    <row r="4" spans="2:9" ht="15.75" customHeight="1" x14ac:dyDescent="0.25"/>
    <row r="5" spans="2:9" ht="15.75" customHeight="1" x14ac:dyDescent="0.3">
      <c r="B5" s="5"/>
      <c r="C5" s="17" t="s">
        <v>218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>
      <c r="B6" s="13" t="s">
        <v>232</v>
      </c>
      <c r="C6" s="18" t="s">
        <v>82</v>
      </c>
      <c r="D6" s="32">
        <f>Számítás!D10+Számítás!D11+Számítás!D15+Számítás!D16+Számítás!D20+Számítás!D21</f>
        <v>17980.85376157031</v>
      </c>
      <c r="E6" s="32">
        <f>Számítás!E10+Számítás!E11+Számítás!E15+Számítás!E16+Számítás!E20+Számítás!E21</f>
        <v>13570938.342637762</v>
      </c>
      <c r="F6" s="32">
        <f>Számítás!F10+Számítás!F11+Számítás!F15+Számítás!F16+Számítás!F20+Számítás!F21</f>
        <v>81178502.848708853</v>
      </c>
    </row>
    <row r="7" spans="2:9" ht="15.75" customHeight="1" x14ac:dyDescent="0.25">
      <c r="B7" s="13" t="s">
        <v>225</v>
      </c>
      <c r="C7" s="18" t="s">
        <v>82</v>
      </c>
      <c r="D7" s="32">
        <f>Számítás!D12+Számítás!D17+Számítás!D22</f>
        <v>13982.022041015625</v>
      </c>
      <c r="E7" s="32">
        <f>Számítás!E12+Számítás!E17+Számítás!E22</f>
        <v>38946837.99724526</v>
      </c>
      <c r="F7" s="32">
        <f>Számítás!F12+Számítás!F17+Számítás!F22</f>
        <v>192235857.41271272</v>
      </c>
    </row>
    <row r="8" spans="2:9" ht="15.75" customHeight="1" x14ac:dyDescent="0.3">
      <c r="B8" s="24" t="s">
        <v>233</v>
      </c>
      <c r="C8" s="24" t="s">
        <v>82</v>
      </c>
      <c r="D8" s="52">
        <f>SUM(D6:D7)</f>
        <v>31962.875802585935</v>
      </c>
      <c r="E8" s="52">
        <f>SUM(E6:E7)</f>
        <v>52517776.339883022</v>
      </c>
      <c r="F8" s="52">
        <f>SUM(F6:F7)</f>
        <v>273414360.26142156</v>
      </c>
    </row>
    <row r="9" spans="2:9" ht="15.75" customHeight="1" x14ac:dyDescent="0.25">
      <c r="B9" s="18" t="str">
        <f>Számítás!B27</f>
        <v>Bercode-kibocsátóknak fizetett forgalomszervezési jutalékok / bercode használat</v>
      </c>
      <c r="C9" s="18" t="s">
        <v>82</v>
      </c>
      <c r="D9" s="32">
        <f>Számítás!D27+Számítás!D49+Számítás!D77</f>
        <v>4660.6740136718745</v>
      </c>
      <c r="E9" s="32">
        <f>Számítás!E27+Számítás!E49+Számítás!E77</f>
        <v>12982279.332415083</v>
      </c>
      <c r="F9" s="32">
        <f>Számítás!F27+Számítás!F49+Számítás!F77</f>
        <v>64078619.137570903</v>
      </c>
    </row>
    <row r="10" spans="2:9" ht="15.75" customHeight="1" x14ac:dyDescent="0.25">
      <c r="B10" s="18" t="str">
        <f>Számítás!B28</f>
        <v>Bercode-kibocsátóknak fizetett forgalomszervezési jutalékok / kereskedő</v>
      </c>
      <c r="C10" s="18" t="s">
        <v>82</v>
      </c>
      <c r="D10" s="32">
        <f>Számítás!D28+Számítás!D50+Számítás!D78</f>
        <v>4660.6740136718745</v>
      </c>
      <c r="E10" s="32">
        <f>Számítás!E28+Számítás!E50+Számítás!E78</f>
        <v>12982279.332415083</v>
      </c>
      <c r="F10" s="32">
        <f>Számítás!F28+Számítás!F50+Számítás!F78</f>
        <v>64078619.137570903</v>
      </c>
    </row>
    <row r="11" spans="2:9" ht="15.75" customHeight="1" x14ac:dyDescent="0.3">
      <c r="B11" s="24" t="str">
        <f>Számítás!B26</f>
        <v>Kifizetett forgalomszervezési jutalékok</v>
      </c>
      <c r="C11" s="24" t="s">
        <v>82</v>
      </c>
      <c r="D11" s="52">
        <f>SUM(D9:D10)</f>
        <v>9321.348027343749</v>
      </c>
      <c r="E11" s="52">
        <f t="shared" ref="E11" si="0">SUM(E9:E10)</f>
        <v>25964558.664830167</v>
      </c>
      <c r="F11" s="52">
        <f>SUM(F9:F10)</f>
        <v>128157238.27514181</v>
      </c>
    </row>
    <row r="12" spans="2:9" ht="15.75" customHeight="1" x14ac:dyDescent="0.25">
      <c r="B12" s="13" t="s">
        <v>234</v>
      </c>
      <c r="C12" s="18" t="s">
        <v>82</v>
      </c>
      <c r="D12" s="32">
        <f>Számítás!D53+Számítás!D80</f>
        <v>320041.68683404359</v>
      </c>
      <c r="E12" s="32">
        <f>Számítás!E53+Számítás!E80</f>
        <v>594835.14558870089</v>
      </c>
      <c r="F12" s="32">
        <f>Számítás!F53+Számítás!F80</f>
        <v>612470.60157311591</v>
      </c>
    </row>
    <row r="13" spans="2:9" ht="15.75" customHeight="1" x14ac:dyDescent="0.3">
      <c r="B13" s="64" t="s">
        <v>226</v>
      </c>
      <c r="C13" s="18" t="s">
        <v>82</v>
      </c>
      <c r="D13" s="32">
        <f>Számítás!D59+Számítás!D86</f>
        <v>32004.168683404358</v>
      </c>
      <c r="E13" s="32">
        <f>Számítás!E59+Számítás!E86</f>
        <v>59483.514558870098</v>
      </c>
      <c r="F13" s="32">
        <f>Számítás!F59+Számítás!F86</f>
        <v>61247.060157311593</v>
      </c>
    </row>
    <row r="14" spans="2:9" ht="15.75" customHeight="1" x14ac:dyDescent="0.3">
      <c r="B14" s="24" t="s">
        <v>174</v>
      </c>
      <c r="C14" s="24" t="s">
        <v>82</v>
      </c>
      <c r="D14" s="52">
        <f>SUM(D12:D13)</f>
        <v>352045.85551744793</v>
      </c>
      <c r="E14" s="52">
        <f t="shared" ref="E14" si="1">SUM(E12:E13)</f>
        <v>654318.660147571</v>
      </c>
      <c r="F14" s="52">
        <f>SUM(F12:F13)</f>
        <v>673717.66173042753</v>
      </c>
    </row>
    <row r="15" spans="2:9" ht="15.75" customHeight="1" x14ac:dyDescent="0.25">
      <c r="B15" s="13" t="s">
        <v>130</v>
      </c>
      <c r="C15" s="18" t="s">
        <v>82</v>
      </c>
      <c r="D15" s="32">
        <f>Számítás!D31+Számítás!D61+Számítás!D88</f>
        <v>52696.89</v>
      </c>
      <c r="E15" s="32">
        <f>Számítás!E31+Számítás!E61+Számítás!E88</f>
        <v>207141.36000000002</v>
      </c>
      <c r="F15" s="32">
        <f>Számítás!F31+Számítás!F61+Számítás!F88</f>
        <v>230355.36000000002</v>
      </c>
    </row>
    <row r="16" spans="2:9" ht="15.75" customHeight="1" x14ac:dyDescent="0.25">
      <c r="B16" s="13" t="s">
        <v>133</v>
      </c>
      <c r="C16" s="18" t="s">
        <v>82</v>
      </c>
      <c r="D16" s="32">
        <f>Számítás!D33+Számítás!D66+Számítás!D93</f>
        <v>521500</v>
      </c>
      <c r="E16" s="32">
        <f>Számítás!E33+Számítás!E66+Számítás!E93</f>
        <v>1290000</v>
      </c>
      <c r="F16" s="32">
        <f>Számítás!F33+Számítás!F66+Számítás!F93</f>
        <v>690000</v>
      </c>
    </row>
    <row r="17" spans="1:26" ht="15.75" customHeight="1" x14ac:dyDescent="0.25">
      <c r="B17" s="13" t="s">
        <v>138</v>
      </c>
      <c r="C17" s="18" t="s">
        <v>82</v>
      </c>
      <c r="D17" s="32">
        <f>Számítás!D38+Számítás!D71+Számítás!D98</f>
        <v>23000</v>
      </c>
      <c r="E17" s="32">
        <f>Számítás!E38+Számítás!E71+Számítás!E98</f>
        <v>60000</v>
      </c>
      <c r="F17" s="32">
        <f>Számítás!F38+Számítás!F71+Számítás!F98</f>
        <v>72000</v>
      </c>
    </row>
    <row r="18" spans="1:26" ht="15.75" customHeight="1" x14ac:dyDescent="0.25">
      <c r="B18" s="13" t="s">
        <v>235</v>
      </c>
      <c r="C18" s="18" t="s">
        <v>82</v>
      </c>
      <c r="D18" s="32">
        <f>Bemenet!$D$225*(Számítás!D27+Számítás!D28+Számítás!D31+Számítás!D33+Számítás!D38+Számítás!D40+Számítás!D49+Számítás!D50+Számítás!D53+Számítás!D59+Számítás!D61+Számítás!D66+Számítás!D71+Számítás!D77+Számítás!D78+Számítás!D80+Számítás!D86+Számítás!D88+Számítás!D93+Számítás!D98)</f>
        <v>25568.809403171872</v>
      </c>
      <c r="E18" s="32">
        <f>Bemenet!$D$225*(Számítás!E27+Számítás!E28+Számítás!E31+Számítás!E33+Számítás!E38+Számítás!E40+Számítás!E49+Számítás!E50+Számítás!E53+Számítás!E59+Számítás!E61+Számítás!E66+Számítás!E71+Számítás!E77+Számítás!E78+Számítás!E80+Számítás!E86+Számítás!E88+Számítás!E93+Számítás!E98)</f>
        <v>432754.18627466605</v>
      </c>
      <c r="F18" s="32">
        <f>Bemenet!$D$225*(Számítás!F27+Számítás!F28+Számítás!F31+Számítás!F33+Számítás!F38+Számítás!F40+Számítás!F49+Számítás!F50+Számítás!F53+Számítás!F59+Számítás!F61+Számítás!F66+Számítás!F71+Számítás!F77+Számítás!F78+Számítás!F80+Számítás!F86+Számítás!F88+Számítás!F93+Számítás!F98)</f>
        <v>1958169.6254530835</v>
      </c>
      <c r="G18" s="53"/>
    </row>
    <row r="19" spans="1:26" ht="15.75" customHeight="1" x14ac:dyDescent="0.3">
      <c r="B19" s="24" t="s">
        <v>236</v>
      </c>
      <c r="C19" s="24" t="s">
        <v>82</v>
      </c>
      <c r="D19" s="52">
        <f>SUM(D15:D18)</f>
        <v>622765.69940317189</v>
      </c>
      <c r="E19" s="52">
        <f t="shared" ref="E19:F19" si="2">SUM(E15:E18)</f>
        <v>1989895.5462746662</v>
      </c>
      <c r="F19" s="52">
        <f t="shared" si="2"/>
        <v>2950524.9854530836</v>
      </c>
    </row>
    <row r="20" spans="1:26" ht="15.75" customHeight="1" x14ac:dyDescent="0.25">
      <c r="B20" s="18" t="str">
        <f>Számítás!B41</f>
        <v>Platformfejlesztés (új modulok, fordítások)</v>
      </c>
      <c r="C20" s="18" t="s">
        <v>82</v>
      </c>
      <c r="D20" s="32">
        <f>Számítás!D41</f>
        <v>300000</v>
      </c>
      <c r="E20" s="32">
        <f>Számítás!E41</f>
        <v>0</v>
      </c>
      <c r="F20" s="32">
        <f>Számítás!F41</f>
        <v>0</v>
      </c>
    </row>
    <row r="21" spans="1:26" ht="15.75" customHeight="1" x14ac:dyDescent="0.25">
      <c r="B21" s="18" t="str">
        <f>Számítás!B42</f>
        <v>Könyvelés</v>
      </c>
      <c r="C21" s="18" t="s">
        <v>82</v>
      </c>
      <c r="D21" s="32">
        <f>Számítás!D42</f>
        <v>6000</v>
      </c>
      <c r="E21" s="32">
        <f>Számítás!E42</f>
        <v>6000</v>
      </c>
      <c r="F21" s="32">
        <f>Számítás!F42</f>
        <v>6000</v>
      </c>
    </row>
    <row r="22" spans="1:26" ht="15.75" customHeight="1" x14ac:dyDescent="0.25">
      <c r="B22" s="18" t="str">
        <f>Számítás!B43</f>
        <v>Jogi tanácsadás</v>
      </c>
      <c r="C22" s="18" t="s">
        <v>82</v>
      </c>
      <c r="D22" s="32">
        <f>Számítás!D43</f>
        <v>12000</v>
      </c>
      <c r="E22" s="32">
        <f>Számítás!E43</f>
        <v>12000</v>
      </c>
      <c r="F22" s="32">
        <f>Számítás!F43</f>
        <v>12000</v>
      </c>
    </row>
    <row r="23" spans="1:26" ht="15.75" customHeight="1" x14ac:dyDescent="0.25">
      <c r="B23" s="18" t="str">
        <f>Számítás!B44</f>
        <v>Külső HR</v>
      </c>
      <c r="C23" s="18" t="s">
        <v>82</v>
      </c>
      <c r="D23" s="32">
        <f>Számítás!D44</f>
        <v>428023.2</v>
      </c>
      <c r="E23" s="32">
        <f>Számítás!E44</f>
        <v>656260.4</v>
      </c>
      <c r="F23" s="32">
        <f>Számítás!F44</f>
        <v>703330.4</v>
      </c>
    </row>
    <row r="24" spans="1:26" ht="15.75" customHeight="1" x14ac:dyDescent="0.3">
      <c r="B24" s="24" t="str">
        <f>Számítás!B40</f>
        <v>Külső szolgáltatások</v>
      </c>
      <c r="C24" s="24" t="s">
        <v>82</v>
      </c>
      <c r="D24" s="52">
        <f>SUM(D20:D23)</f>
        <v>746023.2</v>
      </c>
      <c r="E24" s="52">
        <f>SUM(E20:E23)</f>
        <v>674260.4</v>
      </c>
      <c r="F24" s="52">
        <f t="shared" ref="F24" si="3">SUM(F20:F23)</f>
        <v>721330.4</v>
      </c>
    </row>
    <row r="25" spans="1:26" ht="15.75" customHeight="1" x14ac:dyDescent="0.3">
      <c r="A25" s="18"/>
      <c r="B25" s="24" t="str">
        <f>Számítás!B104</f>
        <v>Új berendezések költségei</v>
      </c>
      <c r="C25" s="24" t="s">
        <v>82</v>
      </c>
      <c r="D25" s="52">
        <f>Számítás!D104</f>
        <v>24000</v>
      </c>
      <c r="E25" s="52">
        <f>Számítás!E104</f>
        <v>18000</v>
      </c>
      <c r="F25" s="52">
        <f>Számítás!F104</f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3">
      <c r="B26" s="24" t="s">
        <v>237</v>
      </c>
      <c r="C26" s="24" t="s">
        <v>82</v>
      </c>
      <c r="D26" s="52">
        <f>D8*Bemenet!$D$11</f>
        <v>0</v>
      </c>
      <c r="E26" s="52">
        <f>E8*Bemenet!$D$11</f>
        <v>0</v>
      </c>
      <c r="F26" s="52">
        <f>F8*Bemenet!$D$11</f>
        <v>0</v>
      </c>
      <c r="G26" s="18" t="str">
        <f>Bemenet!B11</f>
        <v>Állami adó Delaware-ben</v>
      </c>
    </row>
    <row r="27" spans="1:26" ht="15.75" customHeight="1" x14ac:dyDescent="0.3">
      <c r="B27" s="17" t="s">
        <v>238</v>
      </c>
      <c r="C27" s="17" t="s">
        <v>82</v>
      </c>
      <c r="D27" s="54">
        <f>D8-D11-D14-D19-D24-D25-D26</f>
        <v>-1722193.2271453775</v>
      </c>
      <c r="E27" s="54">
        <f>E8-E11-E14-E19-E24-E25-E26</f>
        <v>23216743.068630621</v>
      </c>
      <c r="F27" s="54">
        <f t="shared" ref="F27" si="4">F8-F11-F14-F19-F24-F25-F26</f>
        <v>140911548.93909624</v>
      </c>
    </row>
    <row r="28" spans="1:26" ht="15.75" customHeight="1" x14ac:dyDescent="0.25">
      <c r="B28" s="18" t="s">
        <v>239</v>
      </c>
      <c r="C28" s="18" t="s">
        <v>82</v>
      </c>
      <c r="D28" s="32">
        <v>0</v>
      </c>
      <c r="E28" s="32">
        <v>0</v>
      </c>
      <c r="F28" s="32">
        <v>0</v>
      </c>
      <c r="G28" s="18" t="s">
        <v>240</v>
      </c>
    </row>
    <row r="29" spans="1:26" ht="15.75" customHeight="1" x14ac:dyDescent="0.3">
      <c r="B29" s="17" t="s">
        <v>241</v>
      </c>
      <c r="C29" s="17" t="s">
        <v>82</v>
      </c>
      <c r="D29" s="54">
        <f>D27+D28</f>
        <v>-1722193.2271453775</v>
      </c>
      <c r="E29" s="54">
        <f>E27+E28</f>
        <v>23216743.068630621</v>
      </c>
      <c r="F29" s="54">
        <f>F27+F28</f>
        <v>140911548.93909624</v>
      </c>
    </row>
    <row r="30" spans="1:26" ht="15.75" customHeight="1" x14ac:dyDescent="0.25">
      <c r="B30" s="18" t="s">
        <v>242</v>
      </c>
      <c r="C30" s="18" t="s">
        <v>82</v>
      </c>
      <c r="D30" s="32">
        <v>0</v>
      </c>
      <c r="E30" s="32">
        <f>Bemenet!$D$12*'Nyereség vs veszteség'!E29</f>
        <v>8125860.0740207164</v>
      </c>
      <c r="F30" s="32">
        <f>Bemenet!$D$12*'Nyereség vs veszteség'!F29</f>
        <v>49319042.128683679</v>
      </c>
      <c r="G30" s="15" t="str">
        <f>Bemenet!B12</f>
        <v>Szövetségi adókulcs az USA-ban</v>
      </c>
    </row>
    <row r="31" spans="1:26" ht="15.75" customHeight="1" x14ac:dyDescent="0.3">
      <c r="A31" s="18"/>
      <c r="B31" s="17" t="s">
        <v>244</v>
      </c>
      <c r="C31" s="17" t="s">
        <v>82</v>
      </c>
      <c r="D31" s="55">
        <f t="shared" ref="D31:F31" si="5">D29-D30</f>
        <v>-1722193.2271453775</v>
      </c>
      <c r="E31" s="55">
        <f t="shared" si="5"/>
        <v>15090882.994609904</v>
      </c>
      <c r="F31" s="55">
        <f t="shared" si="5"/>
        <v>91592506.810412556</v>
      </c>
      <c r="G31" s="32"/>
      <c r="H31" s="18"/>
      <c r="I31" s="18"/>
      <c r="J31" s="18"/>
      <c r="K31" s="18"/>
      <c r="L31" s="18"/>
      <c r="M31" s="18"/>
      <c r="N31" s="18"/>
      <c r="O31" s="18"/>
    </row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outlinePr summaryBelow="0" summaryRight="0"/>
  </sheetPr>
  <dimension ref="B1:I999"/>
  <sheetViews>
    <sheetView topLeftCell="B1" workbookViewId="0"/>
  </sheetViews>
  <sheetFormatPr defaultColWidth="14.453125" defaultRowHeight="15" customHeight="1" x14ac:dyDescent="0.25"/>
  <cols>
    <col min="1" max="1" width="3.7265625" customWidth="1"/>
    <col min="2" max="2" width="3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243</v>
      </c>
    </row>
    <row r="4" spans="2:9" ht="15.75" customHeight="1" x14ac:dyDescent="0.25"/>
    <row r="5" spans="2:9" ht="15.75" customHeight="1" x14ac:dyDescent="0.3">
      <c r="B5" s="5"/>
      <c r="C5" s="17" t="s">
        <v>218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/>
    <row r="7" spans="2:9" ht="15.75" customHeight="1" x14ac:dyDescent="0.25">
      <c r="B7" s="18" t="s">
        <v>244</v>
      </c>
      <c r="C7" s="18" t="s">
        <v>82</v>
      </c>
      <c r="D7" s="32">
        <f>'Nyereség vs veszteség'!D31</f>
        <v>-1722193.2271453775</v>
      </c>
      <c r="E7" s="32">
        <f>'Nyereség vs veszteség'!E31</f>
        <v>15090882.994609904</v>
      </c>
      <c r="F7" s="32">
        <f>'Nyereség vs veszteség'!F31</f>
        <v>91592506.810412556</v>
      </c>
    </row>
    <row r="8" spans="2:9" ht="15.75" customHeight="1" x14ac:dyDescent="0.25">
      <c r="B8" s="18" t="s">
        <v>215</v>
      </c>
      <c r="C8" s="18" t="s">
        <v>82</v>
      </c>
      <c r="D8" s="32">
        <f>Számítás!D105</f>
        <v>4800</v>
      </c>
      <c r="E8" s="32">
        <f>Számítás!E105</f>
        <v>8400</v>
      </c>
      <c r="F8" s="32">
        <f>Számítás!F105</f>
        <v>8400</v>
      </c>
    </row>
    <row r="9" spans="2:9" ht="15.75" customHeight="1" x14ac:dyDescent="0.3">
      <c r="B9" s="56" t="s">
        <v>245</v>
      </c>
      <c r="C9" s="56" t="s">
        <v>82</v>
      </c>
      <c r="D9" s="57">
        <f>D7+D8</f>
        <v>-1717393.2271453775</v>
      </c>
      <c r="E9" s="57">
        <f>E7+E8</f>
        <v>15099282.994609904</v>
      </c>
      <c r="F9" s="57">
        <f>F7+F8</f>
        <v>91600906.810412556</v>
      </c>
    </row>
    <row r="10" spans="2:9" ht="15.75" customHeight="1" x14ac:dyDescent="0.25">
      <c r="B10" s="18" t="s">
        <v>246</v>
      </c>
      <c r="C10" s="18" t="s">
        <v>82</v>
      </c>
      <c r="D10" s="32">
        <f>Számítás!D104</f>
        <v>24000</v>
      </c>
      <c r="E10" s="32">
        <f>Számítás!E104</f>
        <v>18000</v>
      </c>
      <c r="F10" s="32">
        <f>Számítás!F104</f>
        <v>0</v>
      </c>
    </row>
    <row r="11" spans="2:9" ht="15.75" customHeight="1" x14ac:dyDescent="0.3">
      <c r="B11" s="56" t="s">
        <v>247</v>
      </c>
      <c r="C11" s="56" t="s">
        <v>82</v>
      </c>
      <c r="D11" s="57">
        <f>SUM(D10)*-1</f>
        <v>-24000</v>
      </c>
      <c r="E11" s="57">
        <f t="shared" ref="E11:F11" si="0">SUM(E10)*-1</f>
        <v>-18000</v>
      </c>
      <c r="F11" s="57">
        <f t="shared" si="0"/>
        <v>0</v>
      </c>
    </row>
    <row r="12" spans="2:9" ht="15.75" customHeight="1" x14ac:dyDescent="0.25">
      <c r="B12" s="18" t="s">
        <v>297</v>
      </c>
      <c r="C12" s="18" t="s">
        <v>82</v>
      </c>
      <c r="D12" s="32">
        <f>ROUND(-485041.32,0)</f>
        <v>-485041</v>
      </c>
      <c r="E12" s="32">
        <v>0</v>
      </c>
      <c r="F12" s="32">
        <v>0</v>
      </c>
    </row>
    <row r="13" spans="2:9" ht="15.75" customHeight="1" x14ac:dyDescent="0.25">
      <c r="B13" s="18" t="s">
        <v>296</v>
      </c>
      <c r="C13" s="18" t="s">
        <v>82</v>
      </c>
      <c r="D13" s="32">
        <f>ROUND(-189625.53,0)</f>
        <v>-189626</v>
      </c>
      <c r="E13" s="32"/>
      <c r="F13" s="32"/>
    </row>
    <row r="14" spans="2:9" ht="15.75" customHeight="1" x14ac:dyDescent="0.3">
      <c r="B14" s="56" t="s">
        <v>249</v>
      </c>
      <c r="C14" s="56" t="s">
        <v>82</v>
      </c>
      <c r="D14" s="57">
        <f>D12+D13</f>
        <v>-674667</v>
      </c>
      <c r="E14" s="57">
        <f>E12</f>
        <v>0</v>
      </c>
      <c r="F14" s="57">
        <f>F12</f>
        <v>0</v>
      </c>
    </row>
    <row r="15" spans="2:9" ht="15.75" customHeight="1" x14ac:dyDescent="0.25">
      <c r="B15" s="18" t="s">
        <v>248</v>
      </c>
      <c r="C15" s="18" t="s">
        <v>82</v>
      </c>
      <c r="D15" s="32">
        <f>-(D16)</f>
        <v>2416060.2271453775</v>
      </c>
      <c r="E15" s="32">
        <v>0</v>
      </c>
      <c r="F15" s="32">
        <v>0</v>
      </c>
    </row>
    <row r="16" spans="2:9" ht="15.75" customHeight="1" x14ac:dyDescent="0.3">
      <c r="B16" s="17" t="s">
        <v>250</v>
      </c>
      <c r="C16" s="17" t="s">
        <v>82</v>
      </c>
      <c r="D16" s="54">
        <f>D9+D11+D14</f>
        <v>-2416060.2271453775</v>
      </c>
      <c r="E16" s="54">
        <f>E9+E11+E14</f>
        <v>15081282.994609904</v>
      </c>
      <c r="F16" s="54">
        <f>F9+F11+F14</f>
        <v>91600906.810412556</v>
      </c>
    </row>
    <row r="17" spans="2:6" ht="15.75" customHeight="1" x14ac:dyDescent="0.3">
      <c r="B17" s="17" t="s">
        <v>251</v>
      </c>
      <c r="C17" s="17" t="s">
        <v>82</v>
      </c>
      <c r="D17" s="54">
        <f>D16+D15</f>
        <v>0</v>
      </c>
      <c r="E17" s="54">
        <f>E16+E15</f>
        <v>15081282.994609904</v>
      </c>
      <c r="F17" s="54">
        <f>F16+F15</f>
        <v>91600906.810412556</v>
      </c>
    </row>
    <row r="18" spans="2:6" ht="15.75" customHeight="1" x14ac:dyDescent="0.25">
      <c r="B18" s="18" t="s">
        <v>252</v>
      </c>
      <c r="C18" s="18" t="s">
        <v>82</v>
      </c>
      <c r="D18" s="32">
        <f t="shared" ref="D18:D19" si="1">D16</f>
        <v>-2416060.2271453775</v>
      </c>
      <c r="E18" s="32">
        <f>D18+E16</f>
        <v>12665222.767464526</v>
      </c>
      <c r="F18" s="32">
        <f>E18+F16</f>
        <v>104266129.57787707</v>
      </c>
    </row>
    <row r="19" spans="2:6" ht="15" customHeight="1" x14ac:dyDescent="0.25">
      <c r="B19" s="18" t="s">
        <v>253</v>
      </c>
      <c r="C19" s="18" t="s">
        <v>82</v>
      </c>
      <c r="D19" s="46">
        <f t="shared" si="1"/>
        <v>0</v>
      </c>
      <c r="E19" s="32">
        <f t="shared" ref="E19" si="2">D19+E17</f>
        <v>15081282.994609904</v>
      </c>
      <c r="F19" s="32">
        <f>E19+F17</f>
        <v>106682189.80502246</v>
      </c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selectLockedCells="1" selectUnlockedCells="1"/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outlinePr summaryBelow="0" summaryRight="0"/>
  </sheetPr>
  <dimension ref="B1:I1000"/>
  <sheetViews>
    <sheetView topLeftCell="B1" workbookViewId="0"/>
  </sheetViews>
  <sheetFormatPr defaultColWidth="14.453125" defaultRowHeight="15" customHeight="1" x14ac:dyDescent="0.25"/>
  <cols>
    <col min="1" max="1" width="3.7265625" customWidth="1"/>
    <col min="2" max="2" width="31.1796875" customWidth="1"/>
    <col min="4" max="4" width="28.08984375" bestFit="1" customWidth="1"/>
  </cols>
  <sheetData>
    <row r="1" spans="2:9" ht="15.75" customHeight="1" x14ac:dyDescent="0.25"/>
    <row r="2" spans="2:9" ht="15.75" customHeight="1" x14ac:dyDescent="0.4">
      <c r="B2" s="2" t="s">
        <v>0</v>
      </c>
    </row>
    <row r="3" spans="2:9" ht="15.75" customHeight="1" x14ac:dyDescent="0.35">
      <c r="B3" s="14" t="s">
        <v>254</v>
      </c>
    </row>
    <row r="4" spans="2:9" ht="15.75" customHeight="1" x14ac:dyDescent="0.25"/>
    <row r="5" spans="2:9" ht="15.75" customHeight="1" x14ac:dyDescent="0.3">
      <c r="B5" s="5"/>
      <c r="C5" s="17" t="s">
        <v>218</v>
      </c>
      <c r="D5" s="45" t="str">
        <f>Számítás!D5</f>
        <v>1.év</v>
      </c>
      <c r="E5" s="45" t="str">
        <f>Számítás!E5</f>
        <v>2.év</v>
      </c>
      <c r="F5" s="45" t="str">
        <f>Számítás!F5</f>
        <v>3.év</v>
      </c>
      <c r="G5" s="18"/>
      <c r="H5" s="18"/>
      <c r="I5" s="18"/>
    </row>
    <row r="6" spans="2:9" ht="15.75" customHeight="1" x14ac:dyDescent="0.25"/>
    <row r="7" spans="2:9" ht="15.75" customHeight="1" x14ac:dyDescent="0.3">
      <c r="B7" s="17" t="s">
        <v>255</v>
      </c>
      <c r="C7" s="16" t="s">
        <v>82</v>
      </c>
      <c r="D7" s="55">
        <f>D8+D12</f>
        <v>19200</v>
      </c>
      <c r="E7" s="55">
        <f t="shared" ref="E7:F7" si="0">E8+E12</f>
        <v>15110082.994609904</v>
      </c>
      <c r="F7" s="55">
        <f t="shared" si="0"/>
        <v>106702589.80502246</v>
      </c>
    </row>
    <row r="8" spans="2:9" ht="15.75" customHeight="1" x14ac:dyDescent="0.3">
      <c r="B8" s="56" t="s">
        <v>256</v>
      </c>
      <c r="C8" s="58" t="s">
        <v>82</v>
      </c>
      <c r="D8" s="59">
        <f t="shared" ref="D8:F8" si="1">SUM(D9:D11)</f>
        <v>19200</v>
      </c>
      <c r="E8" s="59">
        <f t="shared" si="1"/>
        <v>28800</v>
      </c>
      <c r="F8" s="59">
        <f t="shared" si="1"/>
        <v>20400</v>
      </c>
    </row>
    <row r="9" spans="2:9" ht="15.75" customHeight="1" x14ac:dyDescent="0.25">
      <c r="B9" s="18" t="s">
        <v>257</v>
      </c>
      <c r="C9" s="13" t="s">
        <v>82</v>
      </c>
      <c r="D9" s="32">
        <v>0</v>
      </c>
      <c r="E9" s="32">
        <v>0</v>
      </c>
      <c r="F9" s="32">
        <v>0</v>
      </c>
    </row>
    <row r="10" spans="2:9" ht="15.75" customHeight="1" x14ac:dyDescent="0.25">
      <c r="B10" s="18" t="s">
        <v>258</v>
      </c>
      <c r="C10" s="13" t="s">
        <v>82</v>
      </c>
      <c r="D10" s="32">
        <f>Számítás!D109</f>
        <v>19200</v>
      </c>
      <c r="E10" s="32">
        <f>Számítás!E109</f>
        <v>28800</v>
      </c>
      <c r="F10" s="32">
        <f>Számítás!F109</f>
        <v>20400</v>
      </c>
    </row>
    <row r="11" spans="2:9" ht="15.75" customHeight="1" x14ac:dyDescent="0.25">
      <c r="B11" s="18" t="s">
        <v>259</v>
      </c>
      <c r="C11" s="13" t="s">
        <v>82</v>
      </c>
      <c r="D11" s="18">
        <v>0</v>
      </c>
      <c r="E11" s="18">
        <v>0</v>
      </c>
      <c r="F11" s="18">
        <v>0</v>
      </c>
    </row>
    <row r="12" spans="2:9" ht="15.75" customHeight="1" x14ac:dyDescent="0.3">
      <c r="B12" s="56" t="s">
        <v>260</v>
      </c>
      <c r="C12" s="58" t="s">
        <v>82</v>
      </c>
      <c r="D12" s="59">
        <f t="shared" ref="D12:F12" si="2">SUM(D13:D16)</f>
        <v>0</v>
      </c>
      <c r="E12" s="59">
        <f t="shared" si="2"/>
        <v>15081282.994609904</v>
      </c>
      <c r="F12" s="59">
        <f t="shared" si="2"/>
        <v>106682189.80502246</v>
      </c>
    </row>
    <row r="13" spans="2:9" ht="15.75" customHeight="1" x14ac:dyDescent="0.25">
      <c r="B13" s="18" t="s">
        <v>261</v>
      </c>
      <c r="C13" s="13" t="s">
        <v>82</v>
      </c>
      <c r="D13" s="18">
        <v>0</v>
      </c>
      <c r="E13" s="18">
        <v>0</v>
      </c>
      <c r="F13" s="18">
        <v>0</v>
      </c>
    </row>
    <row r="14" spans="2:9" ht="15.75" customHeight="1" x14ac:dyDescent="0.25">
      <c r="B14" s="18" t="s">
        <v>262</v>
      </c>
      <c r="C14" s="13" t="s">
        <v>82</v>
      </c>
      <c r="D14" s="18">
        <v>0</v>
      </c>
      <c r="E14" s="18">
        <v>0</v>
      </c>
      <c r="F14" s="18">
        <v>0</v>
      </c>
    </row>
    <row r="15" spans="2:9" ht="15.75" customHeight="1" x14ac:dyDescent="0.25">
      <c r="B15" s="18" t="s">
        <v>263</v>
      </c>
      <c r="C15" s="13" t="s">
        <v>82</v>
      </c>
      <c r="D15" s="18">
        <v>0</v>
      </c>
      <c r="E15" s="18">
        <v>0</v>
      </c>
      <c r="F15" s="18">
        <v>0</v>
      </c>
    </row>
    <row r="16" spans="2:9" ht="15.75" customHeight="1" x14ac:dyDescent="0.25">
      <c r="B16" s="18" t="s">
        <v>264</v>
      </c>
      <c r="C16" s="13" t="s">
        <v>82</v>
      </c>
      <c r="D16" s="32">
        <f>Pénzforgalom!D19</f>
        <v>0</v>
      </c>
      <c r="E16" s="32">
        <f>Pénzforgalom!E19</f>
        <v>15081282.994609904</v>
      </c>
      <c r="F16" s="32">
        <f>Pénzforgalom!F19</f>
        <v>106682189.80502246</v>
      </c>
    </row>
    <row r="17" spans="2:7" ht="15.75" customHeight="1" x14ac:dyDescent="0.3">
      <c r="B17" s="17" t="s">
        <v>265</v>
      </c>
      <c r="C17" s="16" t="s">
        <v>82</v>
      </c>
      <c r="D17" s="55">
        <f>D18+D23</f>
        <v>19200</v>
      </c>
      <c r="E17" s="55">
        <f>E18+E23</f>
        <v>15110082.994609904</v>
      </c>
      <c r="F17" s="55">
        <f t="shared" ref="F17" si="3">F18+F23</f>
        <v>106702589.80502246</v>
      </c>
    </row>
    <row r="18" spans="2:7" ht="15.75" customHeight="1" x14ac:dyDescent="0.3">
      <c r="B18" s="56" t="s">
        <v>266</v>
      </c>
      <c r="C18" s="58" t="s">
        <v>82</v>
      </c>
      <c r="D18" s="59">
        <f>SUM(D19:D22)</f>
        <v>693867</v>
      </c>
      <c r="E18" s="59">
        <f>SUM(E19:E22)</f>
        <v>15110082.994609904</v>
      </c>
      <c r="F18" s="59">
        <f t="shared" ref="F18" si="4">SUM(F19:F22)</f>
        <v>106702589.80502246</v>
      </c>
    </row>
    <row r="19" spans="2:7" ht="15.75" customHeight="1" x14ac:dyDescent="0.25">
      <c r="B19" s="18" t="s">
        <v>267</v>
      </c>
      <c r="C19" s="13" t="s">
        <v>82</v>
      </c>
      <c r="D19" s="32">
        <f>Pénzforgalom!D15</f>
        <v>2416060.2271453775</v>
      </c>
      <c r="E19" s="32">
        <f t="shared" ref="E19:F19" si="5">D19</f>
        <v>2416060.2271453775</v>
      </c>
      <c r="F19" s="32">
        <f t="shared" si="5"/>
        <v>2416060.2271453775</v>
      </c>
      <c r="G19" s="18" t="s">
        <v>268</v>
      </c>
    </row>
    <row r="20" spans="2:7" ht="15.75" customHeight="1" x14ac:dyDescent="0.25">
      <c r="B20" s="18" t="s">
        <v>269</v>
      </c>
      <c r="C20" s="13" t="s">
        <v>82</v>
      </c>
      <c r="D20" s="18">
        <v>0</v>
      </c>
      <c r="E20" s="18">
        <v>0</v>
      </c>
      <c r="F20" s="18">
        <v>0</v>
      </c>
    </row>
    <row r="21" spans="2:7" ht="15.75" customHeight="1" x14ac:dyDescent="0.25">
      <c r="B21" s="18" t="s">
        <v>270</v>
      </c>
      <c r="C21" s="13" t="s">
        <v>82</v>
      </c>
      <c r="D21" s="18">
        <v>0</v>
      </c>
      <c r="E21" s="32">
        <f>D21+D22+D23</f>
        <v>-2396860.2271453775</v>
      </c>
      <c r="F21" s="32">
        <f>E21+E22+E23</f>
        <v>12694022.767464526</v>
      </c>
    </row>
    <row r="22" spans="2:7" ht="15.75" customHeight="1" x14ac:dyDescent="0.25">
      <c r="B22" s="18" t="s">
        <v>271</v>
      </c>
      <c r="C22" s="13" t="s">
        <v>82</v>
      </c>
      <c r="D22" s="32">
        <f>'Nyereség vs veszteség'!D31</f>
        <v>-1722193.2271453775</v>
      </c>
      <c r="E22" s="32">
        <f>'Nyereség vs veszteség'!E31</f>
        <v>15090882.994609904</v>
      </c>
      <c r="F22" s="32">
        <f>'Nyereség vs veszteség'!F31</f>
        <v>91592506.810412556</v>
      </c>
    </row>
    <row r="23" spans="2:7" ht="15.75" customHeight="1" x14ac:dyDescent="0.3">
      <c r="B23" s="56" t="s">
        <v>272</v>
      </c>
      <c r="C23" s="58" t="s">
        <v>82</v>
      </c>
      <c r="D23" s="59">
        <f t="shared" ref="D23:F23" si="6">SUM(D24:D26)</f>
        <v>-674667</v>
      </c>
      <c r="E23" s="59">
        <f t="shared" si="6"/>
        <v>0</v>
      </c>
      <c r="F23" s="59">
        <f t="shared" si="6"/>
        <v>0</v>
      </c>
    </row>
    <row r="24" spans="2:7" ht="15.75" customHeight="1" x14ac:dyDescent="0.25">
      <c r="B24" s="18" t="s">
        <v>273</v>
      </c>
      <c r="C24" s="13" t="s">
        <v>82</v>
      </c>
      <c r="D24" s="32">
        <v>0</v>
      </c>
      <c r="E24" s="32">
        <v>0</v>
      </c>
      <c r="F24" s="32">
        <v>0</v>
      </c>
    </row>
    <row r="25" spans="2:7" ht="15.75" customHeight="1" x14ac:dyDescent="0.25">
      <c r="B25" s="18" t="s">
        <v>274</v>
      </c>
      <c r="C25" s="13" t="s">
        <v>82</v>
      </c>
      <c r="D25" s="32">
        <v>0</v>
      </c>
      <c r="E25" s="32">
        <v>0</v>
      </c>
      <c r="F25" s="32">
        <v>0</v>
      </c>
    </row>
    <row r="26" spans="2:7" ht="15.75" customHeight="1" x14ac:dyDescent="0.25">
      <c r="B26" s="18" t="s">
        <v>275</v>
      </c>
      <c r="C26" s="13" t="s">
        <v>82</v>
      </c>
      <c r="D26" s="32">
        <f>Pénzforgalom!D14</f>
        <v>-674667</v>
      </c>
      <c r="E26" s="32">
        <v>0</v>
      </c>
      <c r="F26" s="32">
        <v>0</v>
      </c>
    </row>
    <row r="27" spans="2:7" ht="15.75" customHeight="1" x14ac:dyDescent="0.25"/>
    <row r="28" spans="2:7" ht="15.75" customHeight="1" x14ac:dyDescent="0.3">
      <c r="B28" s="60" t="s">
        <v>276</v>
      </c>
      <c r="C28" s="60"/>
      <c r="D28" s="122" t="str">
        <f>IF(ROUND(D7,2)=ROUND(D17,2),"ok","not ok")</f>
        <v>ok</v>
      </c>
      <c r="E28" s="122" t="str">
        <f t="shared" ref="E28:F28" si="7">IF(ROUND(E7,2)=ROUND(E17,2),"ok","not ok")</f>
        <v>ok</v>
      </c>
      <c r="F28" s="122" t="str">
        <f t="shared" si="7"/>
        <v>ok</v>
      </c>
    </row>
    <row r="29" spans="2:7" ht="15.75" customHeight="1" x14ac:dyDescent="0.25">
      <c r="D29" s="47">
        <f>D7-D17</f>
        <v>0</v>
      </c>
      <c r="E29" s="47">
        <f>E7-E17</f>
        <v>0</v>
      </c>
      <c r="F29" s="47">
        <f>F7-F17</f>
        <v>0</v>
      </c>
    </row>
    <row r="30" spans="2:7" ht="15.75" customHeight="1" x14ac:dyDescent="0.25">
      <c r="D30" s="121"/>
    </row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conditionalFormatting sqref="D28:F28">
    <cfRule type="cellIs" dxfId="0" priority="1" operator="equal">
      <formula>"not ok"</formula>
    </cfRule>
  </conditionalFormatting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>
    <outlinePr summaryBelow="0" summaryRight="0"/>
  </sheetPr>
  <dimension ref="B1:H1001"/>
  <sheetViews>
    <sheetView tabSelected="1" topLeftCell="B4" workbookViewId="0">
      <selection activeCell="A4" sqref="A4"/>
    </sheetView>
  </sheetViews>
  <sheetFormatPr defaultColWidth="14.453125" defaultRowHeight="15" customHeight="1" outlineLevelRow="1" x14ac:dyDescent="0.25"/>
  <cols>
    <col min="1" max="1" width="3.7265625" customWidth="1"/>
    <col min="2" max="2" width="25.26953125" bestFit="1" customWidth="1"/>
    <col min="3" max="3" width="7.1796875" bestFit="1" customWidth="1"/>
    <col min="4" max="4" width="14.1796875" bestFit="1" customWidth="1"/>
    <col min="8" max="8" width="16.1796875" customWidth="1"/>
  </cols>
  <sheetData>
    <row r="1" spans="2:8" ht="15.75" customHeight="1" x14ac:dyDescent="0.25"/>
    <row r="2" spans="2:8" ht="15.75" customHeight="1" x14ac:dyDescent="0.4">
      <c r="B2" s="2" t="s">
        <v>0</v>
      </c>
    </row>
    <row r="3" spans="2:8" ht="15.75" customHeight="1" x14ac:dyDescent="0.35">
      <c r="B3" s="14" t="s">
        <v>277</v>
      </c>
    </row>
    <row r="4" spans="2:8" ht="15.75" customHeight="1" x14ac:dyDescent="0.25"/>
    <row r="5" spans="2:8" ht="15.75" customHeight="1" x14ac:dyDescent="0.3">
      <c r="B5" s="5"/>
      <c r="C5" s="17" t="s">
        <v>218</v>
      </c>
      <c r="D5" s="45" t="s">
        <v>42</v>
      </c>
      <c r="E5" s="45" t="str">
        <f>Számítás!D5</f>
        <v>1.év</v>
      </c>
      <c r="F5" s="45" t="str">
        <f>Számítás!E5</f>
        <v>2.év</v>
      </c>
      <c r="G5" s="45" t="str">
        <f>Számítás!F5</f>
        <v>3.év</v>
      </c>
      <c r="H5" s="45" t="s">
        <v>278</v>
      </c>
    </row>
    <row r="6" spans="2:8" ht="15.75" customHeight="1" outlineLevel="1" x14ac:dyDescent="0.25">
      <c r="D6" s="20">
        <f>Bemenet!D9</f>
        <v>45292</v>
      </c>
      <c r="E6" s="20">
        <f>DATE(YEAR(D6),12,31)</f>
        <v>45657</v>
      </c>
      <c r="F6" s="20">
        <f>DATE(YEAR(E6+1),12,31)</f>
        <v>46022</v>
      </c>
      <c r="G6" s="20">
        <f>DATE(YEAR(F6+1),12,31)</f>
        <v>46387</v>
      </c>
      <c r="H6" s="20">
        <f>G6</f>
        <v>46387</v>
      </c>
    </row>
    <row r="7" spans="2:8" ht="15.75" customHeight="1" x14ac:dyDescent="0.25"/>
    <row r="8" spans="2:8" ht="15.75" customHeight="1" x14ac:dyDescent="0.3">
      <c r="B8" s="118" t="s">
        <v>279</v>
      </c>
      <c r="C8" s="116"/>
      <c r="D8" s="112"/>
      <c r="E8" s="112"/>
      <c r="F8" s="112"/>
      <c r="G8" s="112"/>
      <c r="H8" s="112"/>
    </row>
    <row r="9" spans="2:8" ht="15.75" customHeight="1" outlineLevel="1" x14ac:dyDescent="0.25"/>
    <row r="10" spans="2:8" ht="15.75" customHeight="1" outlineLevel="1" x14ac:dyDescent="0.25">
      <c r="B10" s="18" t="s">
        <v>241</v>
      </c>
      <c r="C10" s="13" t="s">
        <v>82</v>
      </c>
      <c r="E10" s="32">
        <f>'Nyereség vs veszteség'!D29</f>
        <v>-1722193.2271453775</v>
      </c>
      <c r="F10" s="32">
        <f>'Nyereség vs veszteség'!E29</f>
        <v>23216743.068630621</v>
      </c>
      <c r="G10" s="32">
        <f>'Nyereség vs veszteség'!F29</f>
        <v>140911548.93909624</v>
      </c>
      <c r="H10" s="32"/>
    </row>
    <row r="11" spans="2:8" ht="15.75" customHeight="1" outlineLevel="1" x14ac:dyDescent="0.25">
      <c r="B11" s="18" t="s">
        <v>280</v>
      </c>
      <c r="C11" s="13" t="s">
        <v>82</v>
      </c>
      <c r="E11" s="32">
        <f>'Nyereség vs veszteség'!D30</f>
        <v>0</v>
      </c>
      <c r="F11" s="32">
        <f>'Nyereség vs veszteség'!E30</f>
        <v>8125860.0740207164</v>
      </c>
      <c r="G11" s="32">
        <f>'Nyereség vs veszteség'!F30</f>
        <v>49319042.128683679</v>
      </c>
      <c r="H11" s="32"/>
    </row>
    <row r="12" spans="2:8" ht="15.75" customHeight="1" outlineLevel="1" x14ac:dyDescent="0.3">
      <c r="B12" s="24" t="s">
        <v>281</v>
      </c>
      <c r="C12" s="61" t="s">
        <v>82</v>
      </c>
      <c r="E12" s="52">
        <f t="shared" ref="E12:G12" si="0">E10-E11</f>
        <v>-1722193.2271453775</v>
      </c>
      <c r="F12" s="52">
        <f t="shared" si="0"/>
        <v>15090882.994609904</v>
      </c>
      <c r="G12" s="52">
        <f t="shared" si="0"/>
        <v>91592506.810412556</v>
      </c>
      <c r="H12" s="52"/>
    </row>
    <row r="13" spans="2:8" ht="15.75" customHeight="1" outlineLevel="1" x14ac:dyDescent="0.25">
      <c r="B13" s="18" t="s">
        <v>215</v>
      </c>
      <c r="C13" s="13" t="s">
        <v>82</v>
      </c>
      <c r="E13" s="32">
        <f>Számítás!D105</f>
        <v>4800</v>
      </c>
      <c r="F13" s="32">
        <f>Számítás!E105</f>
        <v>8400</v>
      </c>
      <c r="G13" s="32">
        <f>Számítás!F105</f>
        <v>8400</v>
      </c>
      <c r="H13" s="32"/>
    </row>
    <row r="14" spans="2:8" ht="15.75" customHeight="1" outlineLevel="1" x14ac:dyDescent="0.25">
      <c r="B14" s="18" t="s">
        <v>298</v>
      </c>
      <c r="C14" s="13" t="s">
        <v>82</v>
      </c>
      <c r="E14" s="32">
        <f>Pénzforgalom!D14</f>
        <v>-674667</v>
      </c>
      <c r="F14" s="32">
        <f>Pénzforgalom!E14</f>
        <v>0</v>
      </c>
      <c r="G14" s="32">
        <f>Pénzforgalom!F14</f>
        <v>0</v>
      </c>
      <c r="H14" s="32"/>
    </row>
    <row r="15" spans="2:8" ht="15.5" customHeight="1" outlineLevel="1" x14ac:dyDescent="0.25">
      <c r="B15" s="18" t="s">
        <v>282</v>
      </c>
      <c r="C15" s="13" t="s">
        <v>82</v>
      </c>
      <c r="E15" s="32">
        <f>Pénzforgalom!D11</f>
        <v>-24000</v>
      </c>
      <c r="F15" s="32">
        <f>Pénzforgalom!E11</f>
        <v>-18000</v>
      </c>
      <c r="G15" s="32">
        <f>Pénzforgalom!F11</f>
        <v>0</v>
      </c>
      <c r="H15" s="32"/>
    </row>
    <row r="16" spans="2:8" ht="15.75" customHeight="1" outlineLevel="1" x14ac:dyDescent="0.3">
      <c r="B16" s="24" t="s">
        <v>279</v>
      </c>
      <c r="C16" s="61" t="s">
        <v>82</v>
      </c>
      <c r="D16" s="24">
        <v>0</v>
      </c>
      <c r="E16" s="52">
        <f>E12+E13+E14+E15</f>
        <v>-2416060.2271453775</v>
      </c>
      <c r="F16" s="52">
        <f t="shared" ref="F16:G16" si="1">F12+F13+F14+F15</f>
        <v>15081282.994609904</v>
      </c>
      <c r="G16" s="52">
        <f t="shared" si="1"/>
        <v>91600906.810412556</v>
      </c>
      <c r="H16" s="52">
        <f>D28</f>
        <v>774513982.1769861</v>
      </c>
    </row>
    <row r="17" spans="2:8" ht="15.75" customHeight="1" x14ac:dyDescent="0.25">
      <c r="C17" s="13"/>
    </row>
    <row r="18" spans="2:8" ht="15.75" customHeight="1" x14ac:dyDescent="0.3">
      <c r="B18" s="118" t="s">
        <v>283</v>
      </c>
      <c r="C18" s="116"/>
      <c r="D18" s="112"/>
      <c r="E18" s="112"/>
      <c r="F18" s="112"/>
      <c r="G18" s="112"/>
      <c r="H18" s="112"/>
    </row>
    <row r="19" spans="2:8" ht="15.75" customHeight="1" outlineLevel="1" x14ac:dyDescent="0.25">
      <c r="C19" s="13"/>
    </row>
    <row r="20" spans="2:8" ht="15.75" customHeight="1" outlineLevel="1" x14ac:dyDescent="0.25">
      <c r="B20" t="s">
        <v>248</v>
      </c>
      <c r="C20" s="29" t="s">
        <v>82</v>
      </c>
      <c r="D20" s="42">
        <f>Pénzforgalom!D15</f>
        <v>2416060.2271453775</v>
      </c>
    </row>
    <row r="21" spans="2:8" ht="15.75" customHeight="1" outlineLevel="1" x14ac:dyDescent="0.25">
      <c r="B21" t="s">
        <v>29</v>
      </c>
      <c r="C21" s="29" t="s">
        <v>45</v>
      </c>
      <c r="D21" s="84">
        <v>0.35</v>
      </c>
      <c r="E21" s="85" t="s">
        <v>284</v>
      </c>
    </row>
    <row r="22" spans="2:8" ht="15.75" customHeight="1" outlineLevel="1" x14ac:dyDescent="0.25">
      <c r="B22" t="s">
        <v>285</v>
      </c>
      <c r="C22" s="29" t="s">
        <v>45</v>
      </c>
      <c r="D22" s="62">
        <v>0.03</v>
      </c>
      <c r="E22" s="83"/>
    </row>
    <row r="23" spans="2:8" ht="15.75" customHeight="1" outlineLevel="1" x14ac:dyDescent="0.25">
      <c r="B23" t="s">
        <v>286</v>
      </c>
      <c r="C23" s="29"/>
      <c r="D23" s="63">
        <v>8.9</v>
      </c>
      <c r="E23" s="85" t="s">
        <v>287</v>
      </c>
    </row>
    <row r="24" spans="2:8" ht="15.75" customHeight="1" outlineLevel="1" x14ac:dyDescent="0.25">
      <c r="C24" s="13"/>
    </row>
    <row r="25" spans="2:8" ht="15.75" customHeight="1" outlineLevel="1" x14ac:dyDescent="0.3">
      <c r="B25" s="24" t="s">
        <v>278</v>
      </c>
      <c r="C25" s="13"/>
    </row>
    <row r="26" spans="2:8" ht="15.75" customHeight="1" outlineLevel="1" x14ac:dyDescent="0.25">
      <c r="B26" s="18" t="s">
        <v>286</v>
      </c>
      <c r="C26" s="13" t="s">
        <v>82</v>
      </c>
      <c r="D26" s="32">
        <f>(G10+G13)*D23</f>
        <v>1254187545.5579567</v>
      </c>
    </row>
    <row r="27" spans="2:8" ht="15.75" customHeight="1" outlineLevel="1" x14ac:dyDescent="0.25">
      <c r="B27" s="18" t="s">
        <v>285</v>
      </c>
      <c r="C27" s="13" t="s">
        <v>82</v>
      </c>
      <c r="D27" s="32">
        <f>(G16*(1+D22))/(D21-D22)</f>
        <v>294840418.7960155</v>
      </c>
    </row>
    <row r="28" spans="2:8" ht="15.75" customHeight="1" outlineLevel="1" x14ac:dyDescent="0.3">
      <c r="B28" s="41" t="s">
        <v>288</v>
      </c>
      <c r="C28" s="64" t="s">
        <v>82</v>
      </c>
      <c r="D28" s="65">
        <f>AVERAGE(D26:D27)</f>
        <v>774513982.1769861</v>
      </c>
    </row>
    <row r="29" spans="2:8" ht="15.75" customHeight="1" x14ac:dyDescent="0.25">
      <c r="C29" s="13"/>
    </row>
    <row r="30" spans="2:8" ht="15.75" customHeight="1" x14ac:dyDescent="0.25">
      <c r="B30" s="66" t="s">
        <v>289</v>
      </c>
      <c r="C30" s="67" t="s">
        <v>82</v>
      </c>
      <c r="D30" s="68">
        <f>XNPV(D21,D16:H16,D6:H6)</f>
        <v>358510938.88783193</v>
      </c>
    </row>
    <row r="31" spans="2:8" ht="15.75" customHeight="1" x14ac:dyDescent="0.25">
      <c r="B31" s="69" t="s">
        <v>290</v>
      </c>
      <c r="C31" s="70" t="s">
        <v>45</v>
      </c>
      <c r="D31" s="71">
        <f>D20/D30</f>
        <v>6.7391534401724223E-3</v>
      </c>
      <c r="E31" s="53"/>
    </row>
    <row r="32" spans="2:8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  <row r="1001" customFormat="1" ht="15.75" customHeight="1" x14ac:dyDescent="0.25"/>
  </sheetData>
  <sheetProtection selectLockedCells="1" selectUnlockedCells="1"/>
  <pageMargins left="0.7" right="0.7" top="0.75" bottom="0.75" header="0" footer="0"/>
  <pageSetup paperSize="9" orientation="portrait"/>
  <ignoredErrors>
    <ignoredError sqref="F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1:D1004"/>
  <sheetViews>
    <sheetView workbookViewId="0">
      <selection activeCell="A24" sqref="A24"/>
    </sheetView>
  </sheetViews>
  <sheetFormatPr defaultColWidth="14.453125" defaultRowHeight="15" customHeight="1" x14ac:dyDescent="0.25"/>
  <cols>
    <col min="1" max="1" width="32.81640625" customWidth="1"/>
    <col min="2" max="2" width="12.54296875" customWidth="1"/>
    <col min="3" max="3" width="12.1796875" customWidth="1"/>
    <col min="4" max="4" width="12.54296875" customWidth="1"/>
    <col min="5" max="26" width="8.7265625" customWidth="1"/>
  </cols>
  <sheetData>
    <row r="1" spans="1:4" ht="12.75" customHeight="1" x14ac:dyDescent="0.25"/>
    <row r="2" spans="1:4" ht="12.75" customHeight="1" x14ac:dyDescent="0.3">
      <c r="B2" s="72" t="str">
        <f>'Nyereség vs veszteség'!D5</f>
        <v>1.év</v>
      </c>
      <c r="C2" s="72" t="str">
        <f>'Nyereség vs veszteség'!E5</f>
        <v>2.év</v>
      </c>
      <c r="D2" s="72" t="str">
        <f>'Nyereség vs veszteség'!F5</f>
        <v>3.év</v>
      </c>
    </row>
    <row r="3" spans="1:4" ht="12.75" customHeight="1" x14ac:dyDescent="0.3">
      <c r="A3" s="73" t="str">
        <f>Értékelés!B10</f>
        <v>Adózás előtti eredmény</v>
      </c>
      <c r="B3" s="74">
        <f>Értékelés!E10</f>
        <v>-1722193.2271453775</v>
      </c>
      <c r="C3" s="74">
        <f>Értékelés!F10</f>
        <v>23216743.068630621</v>
      </c>
      <c r="D3" s="74">
        <f>Értékelés!G10</f>
        <v>140911548.93909624</v>
      </c>
    </row>
    <row r="4" spans="1:4" ht="12.75" customHeight="1" x14ac:dyDescent="0.3">
      <c r="A4" s="73" t="str">
        <f>Értékelés!B11</f>
        <v>Fizetendő adó</v>
      </c>
      <c r="B4" s="74">
        <f>Értékelés!E11</f>
        <v>0</v>
      </c>
      <c r="C4" s="74">
        <f>Értékelés!F11</f>
        <v>8125860.0740207164</v>
      </c>
      <c r="D4" s="74">
        <f>Értékelés!G11</f>
        <v>49319042.128683679</v>
      </c>
    </row>
    <row r="5" spans="1:4" ht="12.75" customHeight="1" x14ac:dyDescent="0.3">
      <c r="A5" s="73" t="str">
        <f>Értékelés!B12</f>
        <v>NOPAT</v>
      </c>
      <c r="B5" s="74">
        <f>Értékelés!E12</f>
        <v>-1722193.2271453775</v>
      </c>
      <c r="C5" s="74">
        <f>Értékelés!F12</f>
        <v>15090882.994609904</v>
      </c>
      <c r="D5" s="74">
        <f>Értékelés!G12</f>
        <v>91592506.810412556</v>
      </c>
    </row>
    <row r="6" spans="1:4" ht="12.75" customHeight="1" x14ac:dyDescent="0.3">
      <c r="A6" s="73" t="str">
        <f>Értékelés!B13</f>
        <v>Amortizáció</v>
      </c>
      <c r="B6" s="74">
        <f>Értékelés!E13</f>
        <v>4800</v>
      </c>
      <c r="C6" s="74">
        <f>Értékelés!F13</f>
        <v>8400</v>
      </c>
      <c r="D6" s="74">
        <f>Értékelés!G13</f>
        <v>8400</v>
      </c>
    </row>
    <row r="7" spans="1:4" ht="12.75" customHeight="1" x14ac:dyDescent="0.3">
      <c r="A7" s="73" t="str">
        <f>Értékelés!B14</f>
        <v>Finanszírozás</v>
      </c>
      <c r="B7" s="74">
        <f>Értékelés!E14</f>
        <v>-674667</v>
      </c>
      <c r="C7" s="74">
        <f>Értékelés!F14</f>
        <v>0</v>
      </c>
      <c r="D7" s="74">
        <f>Értékelés!G14</f>
        <v>0</v>
      </c>
    </row>
    <row r="8" spans="1:4" ht="12.75" customHeight="1" x14ac:dyDescent="0.3">
      <c r="A8" s="73" t="str">
        <f>Értékelés!B15</f>
        <v>Beruházások</v>
      </c>
      <c r="B8" s="74">
        <f>Értékelés!E15</f>
        <v>-24000</v>
      </c>
      <c r="C8" s="74">
        <f>Értékelés!F15</f>
        <v>-18000</v>
      </c>
      <c r="D8" s="74">
        <f>Értékelés!G15</f>
        <v>0</v>
      </c>
    </row>
    <row r="9" spans="1:4" ht="12.75" customHeight="1" x14ac:dyDescent="0.3">
      <c r="A9" s="73" t="str">
        <f>Értékelés!B16</f>
        <v>FCFF</v>
      </c>
      <c r="B9" s="74">
        <f>Értékelés!E16</f>
        <v>-2416060.2271453775</v>
      </c>
      <c r="C9" s="74">
        <f>Értékelés!F16</f>
        <v>15081282.994609904</v>
      </c>
      <c r="D9" s="74">
        <f>Értékelés!G16</f>
        <v>91600906.810412556</v>
      </c>
    </row>
    <row r="10" spans="1:4" ht="12.75" customHeight="1" x14ac:dyDescent="0.25"/>
    <row r="11" spans="1:4" ht="12.75" customHeight="1" x14ac:dyDescent="0.25">
      <c r="A11" s="75" t="s">
        <v>248</v>
      </c>
      <c r="B11" s="74">
        <f>Értékelés!D20</f>
        <v>2416060.2271453775</v>
      </c>
    </row>
    <row r="12" spans="1:4" ht="12.75" customHeight="1" x14ac:dyDescent="0.25">
      <c r="A12" s="75" t="s">
        <v>291</v>
      </c>
      <c r="B12" s="76">
        <v>0.12</v>
      </c>
      <c r="C12" s="18"/>
    </row>
    <row r="13" spans="1:4" ht="12.75" customHeight="1" x14ac:dyDescent="0.3">
      <c r="A13" s="73" t="s">
        <v>292</v>
      </c>
      <c r="B13" s="91">
        <f>((D9*B12)-B11)/B11</f>
        <v>3.5496004999167172</v>
      </c>
    </row>
    <row r="14" spans="1:4" ht="12.75" customHeight="1" x14ac:dyDescent="0.25"/>
    <row r="15" spans="1:4" ht="12.75" customHeight="1" x14ac:dyDescent="0.3">
      <c r="A15" s="49" t="s">
        <v>293</v>
      </c>
      <c r="B15" s="119">
        <f>B13*B11</f>
        <v>8576048.5901041292</v>
      </c>
      <c r="C15" s="90"/>
      <c r="D15" s="89"/>
    </row>
    <row r="16" spans="1:4" ht="12.75" customHeight="1" x14ac:dyDescent="0.25">
      <c r="C16" s="90"/>
      <c r="D16" s="89"/>
    </row>
    <row r="17" spans="1:4" ht="12.75" customHeight="1" x14ac:dyDescent="0.3">
      <c r="A17" s="73" t="s">
        <v>294</v>
      </c>
      <c r="B17" s="91">
        <f>((Értékelés!D30*B12)-B11)/B11</f>
        <v>16.80639082717336</v>
      </c>
    </row>
    <row r="18" spans="1:4" ht="12.75" customHeight="1" x14ac:dyDescent="0.25"/>
    <row r="19" spans="1:4" ht="18.75" customHeight="1" x14ac:dyDescent="0.3">
      <c r="A19" s="120" t="s">
        <v>293</v>
      </c>
      <c r="B19" s="119">
        <f>B17*B11</f>
        <v>40605252.439394459</v>
      </c>
    </row>
    <row r="20" spans="1:4" ht="12.75" customHeight="1" x14ac:dyDescent="0.25">
      <c r="B20" s="77"/>
    </row>
    <row r="21" spans="1:4" ht="12.75" customHeight="1" x14ac:dyDescent="0.25">
      <c r="D21" s="77"/>
    </row>
    <row r="22" spans="1:4" ht="12.75" customHeight="1" x14ac:dyDescent="0.3">
      <c r="A22" s="49" t="s">
        <v>295</v>
      </c>
    </row>
    <row r="23" spans="1:4" ht="12.75" customHeight="1" x14ac:dyDescent="0.25"/>
    <row r="24" spans="1:4" ht="12.75" customHeight="1" x14ac:dyDescent="0.25"/>
    <row r="25" spans="1:4" ht="12.75" customHeight="1" x14ac:dyDescent="0.25"/>
    <row r="26" spans="1:4" ht="12.75" customHeight="1" x14ac:dyDescent="0.25"/>
    <row r="27" spans="1:4" ht="12.75" customHeight="1" x14ac:dyDescent="0.25"/>
    <row r="28" spans="1:4" ht="12.75" customHeight="1" x14ac:dyDescent="0.25"/>
    <row r="29" spans="1:4" ht="12.75" customHeight="1" x14ac:dyDescent="0.25"/>
    <row r="30" spans="1:4" ht="12.75" customHeight="1" x14ac:dyDescent="0.25"/>
    <row r="31" spans="1:4" ht="12.75" customHeight="1" x14ac:dyDescent="0.25"/>
    <row r="32" spans="1:4" ht="12.75" customHeight="1" x14ac:dyDescent="0.25"/>
    <row r="33" customFormat="1" ht="12.75" customHeight="1" x14ac:dyDescent="0.25"/>
    <row r="34" customFormat="1" ht="12.75" customHeight="1" x14ac:dyDescent="0.25"/>
    <row r="35" customFormat="1" ht="12.75" customHeight="1" x14ac:dyDescent="0.25"/>
    <row r="36" customFormat="1" ht="12.75" customHeight="1" x14ac:dyDescent="0.25"/>
    <row r="37" customFormat="1" ht="12.75" customHeight="1" x14ac:dyDescent="0.25"/>
    <row r="38" customFormat="1" ht="12.75" customHeight="1" x14ac:dyDescent="0.25"/>
    <row r="39" customFormat="1" ht="12.75" customHeight="1" x14ac:dyDescent="0.25"/>
    <row r="40" customFormat="1" ht="12.75" customHeight="1" x14ac:dyDescent="0.25"/>
    <row r="41" customFormat="1" ht="12.75" customHeight="1" x14ac:dyDescent="0.25"/>
    <row r="42" customFormat="1" ht="12.75" customHeight="1" x14ac:dyDescent="0.25"/>
    <row r="43" customFormat="1" ht="12.75" customHeight="1" x14ac:dyDescent="0.25"/>
    <row r="44" customFormat="1" ht="12.75" customHeight="1" x14ac:dyDescent="0.25"/>
    <row r="45" customFormat="1" ht="12.75" customHeight="1" x14ac:dyDescent="0.25"/>
    <row r="46" customFormat="1" ht="12.75" customHeight="1" x14ac:dyDescent="0.25"/>
    <row r="47" customFormat="1" ht="12.75" customHeight="1" x14ac:dyDescent="0.25"/>
    <row r="48" customFormat="1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  <row r="998" customFormat="1" ht="12.75" customHeight="1" x14ac:dyDescent="0.25"/>
    <row r="999" customFormat="1" ht="12.75" customHeight="1" x14ac:dyDescent="0.25"/>
    <row r="1000" customFormat="1" ht="12.75" customHeight="1" x14ac:dyDescent="0.25"/>
    <row r="1001" customFormat="1" ht="12.75" customHeight="1" x14ac:dyDescent="0.25"/>
    <row r="1002" customFormat="1" ht="12.75" customHeight="1" x14ac:dyDescent="0.25"/>
    <row r="1003" customFormat="1" ht="12.75" customHeight="1" x14ac:dyDescent="0.25"/>
    <row r="1004" customFormat="1" ht="12.75" customHeight="1" x14ac:dyDescent="0.25"/>
  </sheetData>
  <sheetProtection selectLockedCells="1" selectUnlockedCells="1"/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E0035DF66C394FB1746C115E70BABC" ma:contentTypeVersion="14" ma:contentTypeDescription="Új dokumentum létrehozása." ma:contentTypeScope="" ma:versionID="c8ef287669c83879d13a95fa4e84ec55">
  <xsd:schema xmlns:xsd="http://www.w3.org/2001/XMLSchema" xmlns:xs="http://www.w3.org/2001/XMLSchema" xmlns:p="http://schemas.microsoft.com/office/2006/metadata/properties" xmlns:ns2="846f8dc8-b681-49d1-a434-125a5a1c5498" xmlns:ns3="b5c1cdd4-6155-4fc3-bd49-a9536ee197fd" targetNamespace="http://schemas.microsoft.com/office/2006/metadata/properties" ma:root="true" ma:fieldsID="37cb402c749af5660df5fb22edacca5f" ns2:_="" ns3:_="">
    <xsd:import namespace="846f8dc8-b681-49d1-a434-125a5a1c5498"/>
    <xsd:import namespace="b5c1cdd4-6155-4fc3-bd49-a9536ee19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8dc8-b681-49d1-a434-125a5a1c5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af2947e-cc75-4fcf-80af-1c0cde8218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1cdd4-6155-4fc3-bd49-a9536ee197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d4674b-c090-4863-8701-623ee4cfaa01}" ma:internalName="TaxCatchAll" ma:showField="CatchAllData" ma:web="b5c1cdd4-6155-4fc3-bd49-a9536ee19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f8dc8-b681-49d1-a434-125a5a1c5498">
      <Terms xmlns="http://schemas.microsoft.com/office/infopath/2007/PartnerControls"/>
    </lcf76f155ced4ddcb4097134ff3c332f>
    <TaxCatchAll xmlns="b5c1cdd4-6155-4fc3-bd49-a9536ee197fd" xsi:nil="true"/>
  </documentManagement>
</p:properties>
</file>

<file path=customXml/itemProps1.xml><?xml version="1.0" encoding="utf-8"?>
<ds:datastoreItem xmlns:ds="http://schemas.openxmlformats.org/officeDocument/2006/customXml" ds:itemID="{B2A5344C-512A-4B35-89AD-19F6FFCCD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f8dc8-b681-49d1-a434-125a5a1c5498"/>
    <ds:schemaRef ds:uri="b5c1cdd4-6155-4fc3-bd49-a9536ee19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87B5-184E-4C12-BB5D-B2B2F28543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136BE-5760-443F-8967-FE8CEA65AA55}">
  <ds:schemaRefs>
    <ds:schemaRef ds:uri="http://schemas.microsoft.com/office/2006/metadata/properties"/>
    <ds:schemaRef ds:uri="http://schemas.microsoft.com/office/infopath/2007/PartnerControls"/>
    <ds:schemaRef ds:uri="846f8dc8-b681-49d1-a434-125a5a1c5498"/>
    <ds:schemaRef ds:uri="b5c1cdd4-6155-4fc3-bd49-a9536ee197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Infó</vt:lpstr>
      <vt:lpstr>Bemenet</vt:lpstr>
      <vt:lpstr>Számítás</vt:lpstr>
      <vt:lpstr>Nyereség vs veszteség</vt:lpstr>
      <vt:lpstr>Pénzforgalom</vt:lpstr>
      <vt:lpstr>Mérleg</vt:lpstr>
      <vt:lpstr>Értékelés</vt:lpstr>
      <vt:lpstr>Megtérülés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Boér László</dc:creator>
  <cp:keywords/>
  <dc:description/>
  <cp:lastModifiedBy>Boér László</cp:lastModifiedBy>
  <cp:revision/>
  <cp:lastPrinted>2024-06-23T19:42:13Z</cp:lastPrinted>
  <dcterms:created xsi:type="dcterms:W3CDTF">2021-07-19T07:34:49Z</dcterms:created>
  <dcterms:modified xsi:type="dcterms:W3CDTF">2024-07-02T18:45:36Z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0x010100D7E0035DF66C394FB1746C115E70BABC</vt:lpwstr>
  </property>
  <property fmtid="{D5CDD505-2E9C-101B-9397-08002B2CF9AE}" pid="3" name="MediaServiceImageTags">
    <vt:lpwstr/>
  </property>
</Properties>
</file>